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'งบทดลอง'!$A$1:$D$65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<sst xmlns="http://schemas.openxmlformats.org/spreadsheetml/2006/main" count="1330" uniqueCount="532">
  <si>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</si>
  <si>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</si>
  <si>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</si>
  <si>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</si>
  <si>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</si>
  <si>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</si>
  <si>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</si>
  <si>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</si>
  <si>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</si>
  <si>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</si>
  <si>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</si>
  <si>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</si>
  <si>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</si>
  <si>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</si>
  <si>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</si>
  <si>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</si>
  <si>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</si>
  <si>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</si>
  <si>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</si>
  <si>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</si>
  <si>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</si>
  <si>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</si>
  <si>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</si>
  <si>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</si>
  <si>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</si>
  <si>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</si>
  <si>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</si>
  <si>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</si>
  <si>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</si>
  <si>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</si>
  <si>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</si>
  <si>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</si>
  <si>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</si>
  <si>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</si>
  <si>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</si>
  <si>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</si>
  <si>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</si>
  <si>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</si>
  <si>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</si>
  <si>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</si>
  <si>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</si>
  <si>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</si>
  <si>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</si>
  <si>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</si>
  <si>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</si>
  <si>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</si>
  <si>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</si>
  <si>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</si>
  <si>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</si>
  <si>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</si>
  <si>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</si>
  <si>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</si>
  <si>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</si>
  <si>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</si>
  <si>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</si>
  <si>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</si>
  <si>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</si>
  <si>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</si>
  <si>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</si>
  <si>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</si>
  <si>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</si>
  <si>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</si>
  <si>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</si>
  <si>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</si>
  <si>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</si>
  <si>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</si>
  <si>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</si>
  <si>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</si>
  <si>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</si>
  <si>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</si>
  <si>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</si>
  <si>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</si>
  <si>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</si>
  <si>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</si>
  <si>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</si>
  <si>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</si>
  <si>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</si>
  <si>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</si>
  <si>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</si>
  <si>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</si>
  <si>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</si>
  <si>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</si>
  <si>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</si>
  <si>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</si>
  <si>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</si>
  <si>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</si>
  <si>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</si>
  <si>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</si>
  <si>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</si>
  <si>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</si>
  <si>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</si>
  <si>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</si>
  <si>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</si>
  <si>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</si>
  <si>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</si>
  <si>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</si>
  <si>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</si>
  <si>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</si>
  <si>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</si>
  <si>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</si>
  <si>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</si>
  <si>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</si>
  <si>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</si>
  <si>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</si>
  <si>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</si>
  <si>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</si>
  <si>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</si>
  <si>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</si>
  <si>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</si>
  <si>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</si>
  <si>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</si>
  <si>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</si>
  <si>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</si>
  <si>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</si>
  <si>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</si>
  <si>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</si>
  <si>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</si>
  <si>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</si>
  <si>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</si>
  <si>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</si>
  <si>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</si>
  <si>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</si>
  <si>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</si>
  <si>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</si>
  <si>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</si>
  <si>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</si>
  <si>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</si>
  <si>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</si>
  <si>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</si>
  <si>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</si>
  <si>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</si>
  <si>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</si>
  <si>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</si>
  <si>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</si>
  <si>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</si>
  <si>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</si>
  <si>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</si>
  <si>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</si>
  <si>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</si>
  <si>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</si>
  <si>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</si>
  <si>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</si>
  <si>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</si>
  <si>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</si>
  <si>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</si>
  <si>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</si>
  <si>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</si>
  <si>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</si>
  <si>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</si>
  <si>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</si>
  <si>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</si>
  <si>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</si>
  <si>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</si>
  <si>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</si>
  <si>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</si>
  <si>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</si>
  <si>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</si>
  <si>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</si>
  <si>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</si>
  <si>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</si>
  <si>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</si>
  <si>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</si>
  <si>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</si>
  <si>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</si>
  <si>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</si>
  <si>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</si>
  <si>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</si>
  <si>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</si>
  <si>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</si>
  <si>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</si>
  <si>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</si>
  <si>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</si>
  <si>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</si>
  <si>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</si>
  <si>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</si>
  <si>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</si>
  <si>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</si>
  <si>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</si>
  <si>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</si>
  <si>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</si>
  <si>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</si>
  <si>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</si>
  <si>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</si>
  <si>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</si>
  <si>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</si>
  <si>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</si>
  <si>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</si>
  <si>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</si>
  <si>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</si>
  <si>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</si>
  <si>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</si>
  <si>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</si>
  <si>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</si>
  <si>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</si>
  <si>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</si>
  <si>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</si>
  <si>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</si>
  <si>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</si>
  <si>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</si>
  <si>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</si>
  <si>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</si>
  <si>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</si>
  <si>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</si>
  <si>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</si>
  <si>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</si>
  <si>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</si>
  <si>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</si>
  <si>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</si>
  <si>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</si>
  <si>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</si>
  <si>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</si>
  <si>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</si>
  <si>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</si>
  <si>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</si>
  <si>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</si>
  <si>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</si>
  <si>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</si>
  <si>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</si>
  <si>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</si>
  <si>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</si>
  <si>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</si>
  <si>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</si>
  <si>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</si>
  <si>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</si>
  <si>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</si>
  <si>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</si>
  <si>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</si>
  <si>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</si>
  <si>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</si>
  <si>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</si>
  <si>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</si>
  <si>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</si>
  <si>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</si>
  <si>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</si>
  <si>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</si>
  <si>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</si>
  <si>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</si>
  <si>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</si>
  <si>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</si>
  <si>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</si>
  <si>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</si>
  <si>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</si>
  <si>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</si>
  <si>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</si>
  <si>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</si>
  <si>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</si>
  <si>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</si>
  <si>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</si>
  <si>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</si>
  <si>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</si>
  <si>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</si>
  <si>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</si>
  <si>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</si>
  <si>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</si>
  <si>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</si>
  <si>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</si>
  <si>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</si>
  <si>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</si>
  <si>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</si>
  <si>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</si>
  <si>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</si>
  <si>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</si>
  <si>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</si>
  <si>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</si>
  <si>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</si>
  <si>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</si>
  <si>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</si>
  <si>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</si>
  <si>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</si>
  <si>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</si>
  <si>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</si>
  <si>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</si>
  <si>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</si>
  <si>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</si>
  <si>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</si>
  <si>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</si>
  <si>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</si>
  <si>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</si>
  <si>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</si>
  <si>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</si>
  <si>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</si>
  <si>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</si>
  <si>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</si>
  <si>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</si>
  <si>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</si>
  <si>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</si>
  <si>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</si>
  <si>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</si>
  <si>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</si>
  <si>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</si>
  <si>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</si>
  <si>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</si>
  <si>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</si>
  <si>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</si>
  <si>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</si>
  <si>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</si>
  <si>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</si>
  <si>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</si>
  <si>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</si>
  <si>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</si>
  <si>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</si>
  <si>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</si>
  <si>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</si>
  <si>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</si>
  <si>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</si>
  <si>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</si>
  <si>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</si>
  <si>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</si>
  <si>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</si>
  <si>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</si>
  <si>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</si>
  <si>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</si>
  <si>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</si>
  <si>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</si>
  <si>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</si>
  <si>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</si>
  <si>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</si>
  <si>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</si>
  <si>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</si>
  <si>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</si>
  <si>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</si>
  <si>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</si>
  <si>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</si>
  <si>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</si>
  <si>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</si>
  <si>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</si>
  <si>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</si>
  <si>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</si>
  <si>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</si>
  <si>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</si>
  <si>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</si>
  <si>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</si>
  <si>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</si>
  <si>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</si>
  <si>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</si>
  <si>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</si>
  <si>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</si>
  <si>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</si>
  <si>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</si>
  <si>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</si>
  <si>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</si>
  <si>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</si>
  <si>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</si>
  <si>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</si>
  <si>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</si>
  <si>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</si>
  <si>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</si>
  <si>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</si>
  <si>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</si>
  <si>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</si>
  <si>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</si>
  <si>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</si>
  <si>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</si>
  <si>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</si>
  <si>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</si>
  <si>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</si>
  <si>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</si>
  <si>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</si>
  <si>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</si>
  <si>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</si>
  <si>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</si>
  <si>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</si>
  <si>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</si>
  <si>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</si>
  <si>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</si>
  <si>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</si>
  <si>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</si>
  <si>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</si>
  <si>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</si>
  <si>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</si>
  <si>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</si>
  <si>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</si>
  <si>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</si>
  <si>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</si>
  <si>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</si>
  <si>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</si>
  <si>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</si>
  <si>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</si>
  <si>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</si>
  <si>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</si>
  <si>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</si>
  <si>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</si>
  <si>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</si>
  <si>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</si>
  <si>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</si>
  <si>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</si>
  <si>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</si>
  <si>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</si>
  <si>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</si>
  <si>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</si>
  <si>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</si>
  <si>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</si>
  <si>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</si>
  <si>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</si>
  <si>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</si>
  <si>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</si>
  <si>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</si>
  <si>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</si>
  <si>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</si>
  <si>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</si>
  <si>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</si>
  <si>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</si>
  <si>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</si>
  <si>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</si>
  <si>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</si>
  <si>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</si>
  <si>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</si>
  <si>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</si>
  <si>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</si>
  <si>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</si>
  <si>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</si>
  <si>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</si>
  <si>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</si>
  <si>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</si>
  <si>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</si>
  <si>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</si>
  <si>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</si>
  <si>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</si>
  <si>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</si>
  <si>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</si>
  <si>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</si>
  <si>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</si>
  <si>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</si>
  <si>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</si>
  <si>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</si>
  <si>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</si>
  <si>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</si>
  <si>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</si>
  <si>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</si>
  <si>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</si>
  <si>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</si>
  <si>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</si>
  <si>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</si>
  <si>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</si>
  <si>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</si>
  <si>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</si>
  <si>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</si>
  <si>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</si>
  <si>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</si>
  <si>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</si>
  <si>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</si>
  <si>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</si>
  <si>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</si>
  <si>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</si>
  <si>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</si>
  <si>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</si>
  <si>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</si>
  <si>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</si>
  <si>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</si>
  <si>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</si>
  <si>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</si>
  <si>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</si>
  <si>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</si>
  <si>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</si>
  <si>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</si>
  <si>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</si>
  <si>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</si>
  <si>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</si>
  <si>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</si>
  <si>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</si>
  <si>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</si>
  <si>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</si>
  <si>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</si>
  <si>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</si>
  <si>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</si>
  <si>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</si>
  <si>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</si>
  <si>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</si>
  <si>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</si>
  <si>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</si>
  <si>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</si>
  <si>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</si>
  <si>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</si>
  <si>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</si>
  <si>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</si>
  <si>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</si>
  <si>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</si>
  <si>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</si>
  <si>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</si>
  <si>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</si>
  <si>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</si>
  <si>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</si>
  <si>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</si>
  <si>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</si>
  <si>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</si>
  <si>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</si>
  <si>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</si>
  <si>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</si>
  <si>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</si>
  <si>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 xml:space="preserve">           รับเงินลูกหนี้ภาษีบำรุงท้องที่</t>
  </si>
  <si>
    <t xml:space="preserve">                     </t>
  </si>
  <si>
    <t xml:space="preserve">เงินฝาก ธนาคาร  ออมสิน  (เผื่อเรียก 11 เดือน)   เลขที่ 300016953717 </t>
  </si>
  <si>
    <t xml:space="preserve">                                        </t>
  </si>
  <si>
    <t>เงินค่าใช้จ่าย 5%</t>
  </si>
  <si>
    <t>9.  ภาษีและค่าธรรมเนียมรถยนต์หรือล้อเลื่อน</t>
  </si>
  <si>
    <t>410600</t>
  </si>
  <si>
    <t xml:space="preserve">                       </t>
  </si>
  <si>
    <t>14/2557</t>
  </si>
  <si>
    <t>15/2557</t>
  </si>
  <si>
    <t>17/2557</t>
  </si>
  <si>
    <t>กลุ่มเลี้ยงสุกร ม. 6 บ้านกุดจอกน้อย</t>
  </si>
  <si>
    <t>ค่ารักษาพยาบาล</t>
  </si>
  <si>
    <t xml:space="preserve">          รับเงินลูกหนี้เงินยืมเงินงบประมาณ</t>
  </si>
  <si>
    <t xml:space="preserve"> m</t>
  </si>
  <si>
    <t xml:space="preserve">   </t>
  </si>
  <si>
    <t>ณ  วันที่  31  กรกฎาคม  2557</t>
  </si>
  <si>
    <t>หมายเหตุ 1  ประกอบงบทดลอง  ณ  วันที่    31  กรกฎาคม  2557</t>
  </si>
  <si>
    <t xml:space="preserve">    </t>
  </si>
  <si>
    <t xml:space="preserve">  31  กรกฎาคม   2557</t>
  </si>
  <si>
    <t>หมายเหตุ 2  ประกอบงบทดลอง  ณ  วันที่    31  กรกฎาคม  2557</t>
  </si>
  <si>
    <t>ประจำเดือน  กรกฎาคม  2557</t>
  </si>
  <si>
    <t>หมายเหตุ 2  ประกอบรายงาน รับ - จ่าย เงินสด  ณ  วันที่  31  กรกฎาคม  2557</t>
  </si>
  <si>
    <t>หมายเหตุ 3  ประกอบรายงาน รับ - จ่าย เงินสด  ณ  วันที่  31  กรกฎาคม  2557</t>
  </si>
  <si>
    <t>หมายเหตุ 4  ประกอบรายงาน รับ - จ่าย เงินสด  ณ  วันที่  31  กรกฎาคม  2557</t>
  </si>
  <si>
    <t>หมายเหตุ 1 ประกอบรายงานรับ- จ่ายเงินสด ณ วันที่  31  กรกฎาคม  2557</t>
  </si>
  <si>
    <t>วันที่  1  กรกฎาคม  2557  ถึง   31  กรกฎาคม  2557</t>
  </si>
  <si>
    <t>ยอดเงินคงเหลือตามรายงานธนาคาร ณวันที่  31  กรกฎาคม  2557</t>
  </si>
  <si>
    <t>15 ก.ค. 57</t>
  </si>
  <si>
    <t>06518156</t>
  </si>
  <si>
    <t>25 ก.ค. 57</t>
  </si>
  <si>
    <t>06518164</t>
  </si>
  <si>
    <t>06518165</t>
  </si>
  <si>
    <t>30 ก.ค. 57</t>
  </si>
  <si>
    <t>06518166</t>
  </si>
  <si>
    <t>06518167</t>
  </si>
  <si>
    <t>06518169</t>
  </si>
  <si>
    <t>31 ก.ค. 57</t>
  </si>
  <si>
    <t>06518170</t>
  </si>
  <si>
    <t>ยอดเงินคงเหลือตามบัญชี  ณ  วันที่  31  กรกฎาคม  2557</t>
  </si>
  <si>
    <t>(ลงชื่อ)..........................................................วันที่  31  กรกฎาคม  2557</t>
  </si>
  <si>
    <t>(ลงชื่อ)...............................วันที่  31  กรกฎาคม 2557</t>
  </si>
  <si>
    <t>เดือน  กรกฎาคม  2557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</si>
</sst>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194" fontId="5" fillId="0" borderId="0" xfId="33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tabSelected="1" view="pageBreakPreview" zoomScaleSheetLayoutView="100" workbookViewId="0" topLeftCell="A40">
      <selection activeCell="A48" sqref="A48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6" t="s">
        <v>0</v>
      </c>
      <c r="B1" s="276"/>
      <c r="C1" s="276"/>
      <c r="D1" s="276"/>
    </row>
    <row r="2" spans="1:4" ht="16.5" customHeight="1">
      <c r="A2" s="276" t="s">
        <v>1</v>
      </c>
      <c r="B2" s="276"/>
      <c r="C2" s="276"/>
      <c r="D2" s="276"/>
    </row>
    <row r="3" spans="1:4" ht="16.5" customHeight="1">
      <c r="A3" s="276" t="s">
        <v>505</v>
      </c>
      <c r="B3" s="276"/>
      <c r="C3" s="276"/>
      <c r="D3" s="276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404</v>
      </c>
      <c r="C5" s="142">
        <v>0</v>
      </c>
      <c r="D5" s="140"/>
    </row>
    <row r="6" spans="1:4" s="206" customFormat="1" ht="16.5" customHeight="1">
      <c r="A6" s="209" t="s">
        <v>405</v>
      </c>
      <c r="B6" s="210" t="s">
        <v>406</v>
      </c>
      <c r="C6" s="83">
        <v>6668093.71</v>
      </c>
      <c r="D6" s="140"/>
    </row>
    <row r="7" spans="1:4" ht="16.5" customHeight="1">
      <c r="A7" s="209" t="s">
        <v>75</v>
      </c>
      <c r="B7" s="210" t="s">
        <v>406</v>
      </c>
      <c r="C7" s="83">
        <v>12475809.18</v>
      </c>
      <c r="D7" s="140"/>
    </row>
    <row r="8" spans="1:4" ht="16.5" customHeight="1">
      <c r="A8" s="209" t="s">
        <v>77</v>
      </c>
      <c r="B8" s="210" t="s">
        <v>406</v>
      </c>
      <c r="C8" s="83">
        <v>85579.99</v>
      </c>
      <c r="D8" s="82"/>
    </row>
    <row r="9" spans="1:4" ht="16.5" customHeight="1">
      <c r="A9" s="209" t="s">
        <v>78</v>
      </c>
      <c r="B9" s="210" t="s">
        <v>407</v>
      </c>
      <c r="C9" s="83">
        <v>11668823.19</v>
      </c>
      <c r="D9" s="82"/>
    </row>
    <row r="10" spans="1:4" ht="16.5" customHeight="1">
      <c r="A10" s="209" t="s">
        <v>76</v>
      </c>
      <c r="B10" s="210" t="s">
        <v>406</v>
      </c>
      <c r="C10" s="83">
        <v>1270.67</v>
      </c>
      <c r="D10" s="82"/>
    </row>
    <row r="11" spans="1:4" ht="16.5" customHeight="1">
      <c r="A11" s="209" t="s">
        <v>491</v>
      </c>
      <c r="B11" s="210" t="s">
        <v>406</v>
      </c>
      <c r="C11" s="83">
        <v>5000000</v>
      </c>
      <c r="D11" s="82"/>
    </row>
    <row r="12" spans="1:4" ht="16.5" customHeight="1">
      <c r="A12" s="209" t="s">
        <v>32</v>
      </c>
      <c r="B12" s="210" t="s">
        <v>287</v>
      </c>
      <c r="C12" s="83">
        <v>467646</v>
      </c>
      <c r="D12" s="82"/>
    </row>
    <row r="13" spans="1:4" ht="16.5" customHeight="1">
      <c r="A13" s="209" t="s">
        <v>367</v>
      </c>
      <c r="B13" s="210" t="s">
        <v>293</v>
      </c>
      <c r="C13" s="83">
        <v>2430600</v>
      </c>
      <c r="D13" s="82"/>
    </row>
    <row r="14" spans="1:4" ht="16.5" customHeight="1">
      <c r="A14" s="209" t="s">
        <v>368</v>
      </c>
      <c r="B14" s="210" t="s">
        <v>300</v>
      </c>
      <c r="C14" s="83">
        <v>2851274</v>
      </c>
      <c r="D14" s="82"/>
    </row>
    <row r="15" spans="1:4" ht="16.5" customHeight="1">
      <c r="A15" s="209" t="s">
        <v>369</v>
      </c>
      <c r="B15" s="210" t="s">
        <v>300</v>
      </c>
      <c r="C15" s="83">
        <v>118840</v>
      </c>
      <c r="D15" s="82"/>
    </row>
    <row r="16" spans="1:4" ht="16.5" customHeight="1">
      <c r="A16" s="209" t="s">
        <v>370</v>
      </c>
      <c r="B16" s="210" t="s">
        <v>300</v>
      </c>
      <c r="C16" s="83">
        <v>925600</v>
      </c>
      <c r="D16" s="82"/>
    </row>
    <row r="17" spans="1:4" ht="16.5" customHeight="1">
      <c r="A17" s="209" t="s">
        <v>6</v>
      </c>
      <c r="B17" s="210" t="s">
        <v>309</v>
      </c>
      <c r="C17" s="83">
        <v>264891</v>
      </c>
      <c r="D17" s="82"/>
    </row>
    <row r="18" spans="1:4" ht="16.5" customHeight="1">
      <c r="A18" s="209" t="s">
        <v>7</v>
      </c>
      <c r="B18" s="210" t="s">
        <v>315</v>
      </c>
      <c r="C18" s="83">
        <v>1487102.24</v>
      </c>
      <c r="D18" s="82"/>
    </row>
    <row r="19" spans="1:4" ht="16.5" customHeight="1">
      <c r="A19" s="209" t="s">
        <v>8</v>
      </c>
      <c r="B19" s="210" t="s">
        <v>320</v>
      </c>
      <c r="C19" s="83">
        <v>1302920.4</v>
      </c>
      <c r="D19" s="82"/>
    </row>
    <row r="20" spans="1:4" ht="16.5" customHeight="1">
      <c r="A20" s="209" t="s">
        <v>9</v>
      </c>
      <c r="B20" s="210" t="s">
        <v>333</v>
      </c>
      <c r="C20" s="83">
        <v>220849.51</v>
      </c>
      <c r="D20" s="82"/>
    </row>
    <row r="21" spans="1:4" ht="16.5" customHeight="1">
      <c r="A21" s="209" t="s">
        <v>55</v>
      </c>
      <c r="B21" s="210" t="s">
        <v>339</v>
      </c>
      <c r="C21" s="83">
        <v>97811.63</v>
      </c>
      <c r="D21" s="82"/>
    </row>
    <row r="22" spans="1:4" ht="16.5" customHeight="1">
      <c r="A22" s="209" t="s">
        <v>56</v>
      </c>
      <c r="B22" s="210" t="s">
        <v>348</v>
      </c>
      <c r="C22" s="83">
        <v>40000</v>
      </c>
      <c r="D22" s="82"/>
    </row>
    <row r="23" spans="1:4" ht="16.5" customHeight="1">
      <c r="A23" s="209" t="s">
        <v>33</v>
      </c>
      <c r="B23" s="210" t="s">
        <v>352</v>
      </c>
      <c r="C23" s="83">
        <v>2305000</v>
      </c>
      <c r="D23" s="82"/>
    </row>
    <row r="24" spans="1:4" ht="16.5" customHeight="1">
      <c r="A24" s="209" t="s">
        <v>371</v>
      </c>
      <c r="B24" s="210" t="s">
        <v>409</v>
      </c>
      <c r="C24" s="83">
        <v>508.19</v>
      </c>
      <c r="D24" s="82"/>
    </row>
    <row r="25" spans="1:4" ht="16.5" customHeight="1">
      <c r="A25" s="207" t="s">
        <v>414</v>
      </c>
      <c r="B25" s="210" t="s">
        <v>383</v>
      </c>
      <c r="C25" s="83">
        <v>1046560</v>
      </c>
      <c r="D25" s="82"/>
    </row>
    <row r="26" spans="1:4" ht="16.5" customHeight="1">
      <c r="A26" s="207" t="s">
        <v>37</v>
      </c>
      <c r="B26" s="210" t="s">
        <v>382</v>
      </c>
      <c r="C26" s="83">
        <v>0</v>
      </c>
      <c r="D26" s="82"/>
    </row>
    <row r="27" spans="1:4" ht="16.5" customHeight="1">
      <c r="A27" s="207" t="s">
        <v>126</v>
      </c>
      <c r="B27" s="210" t="s">
        <v>386</v>
      </c>
      <c r="C27" s="83">
        <v>0</v>
      </c>
      <c r="D27" s="82"/>
    </row>
    <row r="28" spans="1:4" ht="16.5" customHeight="1">
      <c r="A28" s="207" t="s">
        <v>444</v>
      </c>
      <c r="B28" s="210" t="s">
        <v>446</v>
      </c>
      <c r="C28" s="83">
        <v>5511400</v>
      </c>
      <c r="D28" s="82"/>
    </row>
    <row r="29" spans="1:4" ht="16.5" customHeight="1">
      <c r="A29" s="207" t="s">
        <v>445</v>
      </c>
      <c r="B29" s="210" t="s">
        <v>446</v>
      </c>
      <c r="C29" s="83">
        <v>884500</v>
      </c>
      <c r="D29" s="82"/>
    </row>
    <row r="30" spans="1:4" ht="16.5" customHeight="1">
      <c r="A30" s="207" t="s">
        <v>463</v>
      </c>
      <c r="B30" s="210" t="s">
        <v>464</v>
      </c>
      <c r="C30" s="83">
        <v>162000</v>
      </c>
      <c r="D30" s="82"/>
    </row>
    <row r="31" spans="1:4" ht="16.5" customHeight="1">
      <c r="A31" s="207" t="s">
        <v>465</v>
      </c>
      <c r="B31" s="210" t="s">
        <v>464</v>
      </c>
      <c r="C31" s="83">
        <v>7560</v>
      </c>
      <c r="D31" s="82"/>
    </row>
    <row r="32" spans="1:4" ht="16.5" customHeight="1">
      <c r="A32" s="207" t="s">
        <v>11</v>
      </c>
      <c r="B32" s="210" t="s">
        <v>410</v>
      </c>
      <c r="C32" s="83" t="s">
        <v>496</v>
      </c>
      <c r="D32" s="82">
        <v>21032469.93</v>
      </c>
    </row>
    <row r="33" spans="1:4" ht="16.5" customHeight="1">
      <c r="A33" s="209" t="s">
        <v>417</v>
      </c>
      <c r="B33" s="210" t="s">
        <v>416</v>
      </c>
      <c r="C33" s="83"/>
      <c r="D33" s="141">
        <v>1065200</v>
      </c>
    </row>
    <row r="34" spans="1:4" ht="16.5" customHeight="1">
      <c r="A34" s="209" t="s">
        <v>373</v>
      </c>
      <c r="B34" s="210" t="s">
        <v>384</v>
      </c>
      <c r="C34" s="83"/>
      <c r="D34" s="139">
        <v>1515335.83</v>
      </c>
    </row>
    <row r="35" spans="1:4" ht="16.5" customHeight="1">
      <c r="A35" s="209" t="s">
        <v>10</v>
      </c>
      <c r="B35" s="210" t="s">
        <v>411</v>
      </c>
      <c r="C35" s="83"/>
      <c r="D35" s="82">
        <v>12760050.76</v>
      </c>
    </row>
    <row r="36" spans="1:4" ht="16.5" customHeight="1">
      <c r="A36" s="209" t="s">
        <v>137</v>
      </c>
      <c r="B36" s="210" t="s">
        <v>412</v>
      </c>
      <c r="C36" s="83"/>
      <c r="D36" s="82">
        <v>11668823.19</v>
      </c>
    </row>
    <row r="37" spans="1:4" ht="16.5" customHeight="1">
      <c r="A37" s="207" t="s">
        <v>444</v>
      </c>
      <c r="B37" s="210" t="s">
        <v>446</v>
      </c>
      <c r="C37" s="83"/>
      <c r="D37" s="82">
        <v>6721200</v>
      </c>
    </row>
    <row r="38" spans="1:4" ht="16.5" customHeight="1">
      <c r="A38" s="207" t="s">
        <v>445</v>
      </c>
      <c r="B38" s="210" t="s">
        <v>446</v>
      </c>
      <c r="C38" s="83"/>
      <c r="D38" s="82">
        <v>1092000</v>
      </c>
    </row>
    <row r="39" spans="1:4" ht="16.5" customHeight="1">
      <c r="A39" s="207" t="s">
        <v>466</v>
      </c>
      <c r="B39" s="210" t="s">
        <v>464</v>
      </c>
      <c r="C39" s="83" t="s">
        <v>507</v>
      </c>
      <c r="D39" s="82">
        <v>169560</v>
      </c>
    </row>
    <row r="40" spans="1:4" ht="16.5" customHeight="1">
      <c r="A40" s="209"/>
      <c r="B40" s="210"/>
      <c r="C40" s="83"/>
      <c r="D40" s="82"/>
    </row>
    <row r="41" spans="1:4" ht="16.5" customHeight="1">
      <c r="A41" s="209"/>
      <c r="B41" s="211"/>
      <c r="C41" s="83"/>
      <c r="D41" s="83"/>
    </row>
    <row r="42" spans="2:5" ht="16.5" customHeight="1">
      <c r="B42" s="212"/>
      <c r="C42" s="13">
        <f>SUM(C5:C41)</f>
        <v>56024639.71</v>
      </c>
      <c r="D42" s="14">
        <f>SUM(D32:D41)</f>
        <v>56024639.70999999</v>
      </c>
      <c r="E42" s="213"/>
    </row>
    <row r="43" spans="2:5" ht="16.5" customHeight="1">
      <c r="B43" s="212"/>
      <c r="C43" s="257"/>
      <c r="E43" s="209"/>
    </row>
    <row r="44" spans="1:4" ht="16.5" customHeight="1">
      <c r="A44" s="278" t="s">
        <v>129</v>
      </c>
      <c r="B44" s="278"/>
      <c r="C44" s="278"/>
      <c r="D44" s="278"/>
    </row>
    <row r="45" spans="1:4" ht="16.5" customHeight="1">
      <c r="A45" s="278" t="s">
        <v>485</v>
      </c>
      <c r="B45" s="278"/>
      <c r="C45" s="278"/>
      <c r="D45" s="278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442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508</v>
      </c>
      <c r="B50" s="202"/>
      <c r="C50" s="128" t="s">
        <v>441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7" t="s">
        <v>506</v>
      </c>
      <c r="B52" s="277"/>
      <c r="C52" s="277"/>
      <c r="D52" s="277"/>
    </row>
    <row r="53" spans="1:4" ht="16.5" customHeight="1">
      <c r="A53" s="277" t="s">
        <v>17</v>
      </c>
      <c r="B53" s="277"/>
      <c r="C53" s="277"/>
      <c r="D53" s="277"/>
    </row>
    <row r="54" spans="1:4" ht="16.5" customHeight="1">
      <c r="A54" s="215" t="s">
        <v>18</v>
      </c>
      <c r="B54" s="206"/>
      <c r="C54" s="8"/>
      <c r="D54" s="88">
        <v>368979</v>
      </c>
    </row>
    <row r="55" spans="1:4" ht="16.5" customHeight="1">
      <c r="A55" s="215" t="s">
        <v>493</v>
      </c>
      <c r="B55" s="206"/>
      <c r="C55" s="8"/>
      <c r="D55" s="88">
        <v>6462.2</v>
      </c>
    </row>
    <row r="56" spans="1:4" ht="16.5" customHeight="1">
      <c r="A56" s="203" t="s">
        <v>19</v>
      </c>
      <c r="D56" s="15">
        <v>7754.64</v>
      </c>
    </row>
    <row r="57" spans="1:4" ht="16.5" customHeight="1">
      <c r="A57" s="215" t="s">
        <v>79</v>
      </c>
      <c r="D57" s="15">
        <v>1132139.99</v>
      </c>
    </row>
    <row r="58" spans="1:4" ht="16.5" customHeight="1">
      <c r="A58" s="218"/>
      <c r="D58" s="20"/>
    </row>
    <row r="59" spans="1:4" ht="16.5" customHeight="1">
      <c r="A59" s="218"/>
      <c r="D59" s="20">
        <f>SUM(D54:D58)</f>
        <v>1515335.83</v>
      </c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18"/>
      <c r="D64" s="20"/>
    </row>
    <row r="65" spans="1:4" ht="16.5" customHeight="1">
      <c r="A65" s="206"/>
      <c r="D65" s="20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6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2:4" ht="16.5" customHeight="1">
      <c r="B596" s="203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09"/>
      <c r="B600" s="209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7"/>
      <c r="C621" s="18"/>
      <c r="D621" s="6"/>
    </row>
    <row r="622" spans="1:4" ht="16.5" customHeight="1">
      <c r="A622" s="217"/>
      <c r="B622" s="219"/>
      <c r="C622" s="18"/>
      <c r="D622" s="6"/>
    </row>
    <row r="623" spans="1:4" ht="16.5" customHeight="1">
      <c r="A623" s="217"/>
      <c r="B623" s="220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17"/>
      <c r="B630" s="217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1:4" ht="16.5" customHeight="1">
      <c r="A636" s="209"/>
      <c r="B636" s="209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  <row r="838" spans="2:4" ht="16.5" customHeight="1">
      <c r="B838" s="203"/>
      <c r="C838" s="18"/>
      <c r="D838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F110" sqref="F110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306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32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v>4538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4538</v>
      </c>
    </row>
    <row r="9" spans="1:18" ht="14.25">
      <c r="A9" s="133" t="s">
        <v>289</v>
      </c>
      <c r="B9" s="113">
        <f>500+1500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290</v>
      </c>
      <c r="B10" s="113">
        <v>0</v>
      </c>
      <c r="C10" s="113"/>
      <c r="D10" s="113"/>
      <c r="E10" s="113"/>
      <c r="F10" s="113" t="s">
        <v>282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291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292</v>
      </c>
      <c r="B12" s="129">
        <v>12635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12635</v>
      </c>
    </row>
    <row r="13" spans="1:18" ht="14.25">
      <c r="A13" s="133" t="s">
        <v>38</v>
      </c>
      <c r="B13" s="115">
        <f>SUM(B8:B12)</f>
        <v>19173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19173</v>
      </c>
    </row>
    <row r="14" spans="1:18" ht="15" thickBot="1">
      <c r="A14" s="134" t="s">
        <v>39</v>
      </c>
      <c r="B14" s="116">
        <f>155395+94960+129628+5888+1000+6888+37338+10538+6838+19173</f>
        <v>467646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467646</v>
      </c>
    </row>
    <row r="15" spans="1:18" ht="15" thickTop="1">
      <c r="A15" s="135" t="s">
        <v>293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294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295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296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297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298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299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486120+243060+243060+243060+243060+243060+243060+243060+243060</f>
        <v>2430600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2430600</v>
      </c>
    </row>
    <row r="24" spans="1:18" ht="15" thickTop="1">
      <c r="A24" s="132" t="s">
        <v>300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301</v>
      </c>
      <c r="B25" s="119"/>
      <c r="C25" s="119">
        <v>117210</v>
      </c>
      <c r="D25" s="119"/>
      <c r="E25" s="119">
        <v>85180</v>
      </c>
      <c r="F25" s="119"/>
      <c r="G25" s="119">
        <v>16920</v>
      </c>
      <c r="H25" s="119"/>
      <c r="I25" s="119"/>
      <c r="J25" s="119"/>
      <c r="K25" s="119"/>
      <c r="L25" s="119">
        <v>35900</v>
      </c>
      <c r="M25" s="119"/>
      <c r="N25" s="119"/>
      <c r="O25" s="113"/>
      <c r="P25" s="119"/>
      <c r="Q25" s="119"/>
      <c r="R25" s="113">
        <f>SUM(C25:P25)</f>
        <v>255210</v>
      </c>
    </row>
    <row r="26" spans="1:18" ht="14.25">
      <c r="A26" s="133" t="s">
        <v>302</v>
      </c>
      <c r="B26" s="119"/>
      <c r="C26" s="119">
        <v>4745</v>
      </c>
      <c r="D26" s="119"/>
      <c r="E26" s="119">
        <v>2470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7215</v>
      </c>
    </row>
    <row r="27" spans="1:18" ht="14.25">
      <c r="A27" s="132" t="s">
        <v>303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136655</v>
      </c>
      <c r="D28" s="103">
        <v>0</v>
      </c>
      <c r="E28" s="103">
        <f>SUM(E25:E27)</f>
        <v>91150</v>
      </c>
      <c r="F28" s="103">
        <v>0</v>
      </c>
      <c r="G28" s="103">
        <f>SUM(G25:G27)</f>
        <v>16920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39400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284125</v>
      </c>
    </row>
    <row r="29" spans="1:18" ht="15" thickBot="1">
      <c r="A29" s="134" t="s">
        <v>39</v>
      </c>
      <c r="B29" s="136"/>
      <c r="C29" s="123">
        <f>257980+128990+232219+134660+139267+136655+136655+136655+136655</f>
        <v>1439736</v>
      </c>
      <c r="D29" s="136">
        <v>0</v>
      </c>
      <c r="E29" s="136">
        <f>148940+74470+80197+74470+82105+91150+91150+91150+91150</f>
        <v>824782</v>
      </c>
      <c r="F29" s="136">
        <v>0</v>
      </c>
      <c r="G29" s="136">
        <f>30000+17310+25933+16570+16570+16920+16920+16920+16920</f>
        <v>174063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72210+36105+70010+38060+38708+39400+39400+39400+39400</f>
        <v>412693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2851274</v>
      </c>
    </row>
    <row r="30" spans="1:18" ht="15" thickTop="1">
      <c r="A30" s="132" t="s">
        <v>300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304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305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39</v>
      </c>
      <c r="B34" s="136"/>
      <c r="C34" s="116">
        <f>23560+11780+11780+11780+11780+12040+12040+12040+12040</f>
        <v>118840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118840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5" t="s">
        <v>101</v>
      </c>
      <c r="D41" s="325"/>
      <c r="E41" s="325"/>
      <c r="F41" s="130" t="s">
        <v>102</v>
      </c>
      <c r="G41" s="325" t="s">
        <v>103</v>
      </c>
      <c r="H41" s="325"/>
      <c r="I41" s="325" t="s">
        <v>104</v>
      </c>
      <c r="J41" s="325"/>
      <c r="K41" s="130" t="s">
        <v>105</v>
      </c>
      <c r="L41" s="325" t="s">
        <v>106</v>
      </c>
      <c r="M41" s="325"/>
      <c r="N41" s="325" t="s">
        <v>107</v>
      </c>
      <c r="O41" s="325"/>
      <c r="P41" s="329" t="s">
        <v>122</v>
      </c>
      <c r="Q41" s="330"/>
      <c r="R41" s="331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358</v>
      </c>
      <c r="Q42" s="244" t="s">
        <v>123</v>
      </c>
      <c r="R42" s="332"/>
    </row>
    <row r="43" spans="1:18" ht="14.25">
      <c r="A43" s="135" t="s">
        <v>300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307</v>
      </c>
      <c r="B44" s="113"/>
      <c r="C44" s="113">
        <v>12130</v>
      </c>
      <c r="D44" s="113"/>
      <c r="E44" s="113">
        <v>13600</v>
      </c>
      <c r="F44" s="113"/>
      <c r="G44" s="113">
        <v>16020</v>
      </c>
      <c r="H44" s="113"/>
      <c r="I44" s="113">
        <v>5340</v>
      </c>
      <c r="J44" s="113"/>
      <c r="K44" s="113"/>
      <c r="L44" s="113">
        <v>11390</v>
      </c>
      <c r="M44" s="113"/>
      <c r="N44" s="113"/>
      <c r="O44" s="113"/>
      <c r="P44" s="113"/>
      <c r="Q44" s="113"/>
      <c r="R44" s="113">
        <f>SUM(C44:P44)</f>
        <v>58480</v>
      </c>
    </row>
    <row r="45" spans="1:18" ht="14.25">
      <c r="A45" s="137" t="s">
        <v>308</v>
      </c>
      <c r="B45" s="110"/>
      <c r="C45" s="110">
        <v>5870</v>
      </c>
      <c r="D45" s="110"/>
      <c r="E45" s="110">
        <v>5160</v>
      </c>
      <c r="F45" s="110"/>
      <c r="G45" s="110">
        <v>10980</v>
      </c>
      <c r="H45" s="110"/>
      <c r="I45" s="110">
        <v>3660</v>
      </c>
      <c r="J45" s="110"/>
      <c r="K45" s="110"/>
      <c r="L45" s="110">
        <v>6610</v>
      </c>
      <c r="M45" s="110"/>
      <c r="N45" s="110"/>
      <c r="O45" s="110"/>
      <c r="P45" s="110"/>
      <c r="Q45" s="110"/>
      <c r="R45" s="110">
        <f>SUM(C45:P45)</f>
        <v>32280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27000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90760</v>
      </c>
    </row>
    <row r="47" spans="1:18" ht="15" thickBot="1">
      <c r="A47" s="134" t="s">
        <v>39</v>
      </c>
      <c r="B47" s="136"/>
      <c r="C47" s="116">
        <f>36000+18000+18000+18000+18000+18000+18000+18000+18000</f>
        <v>180000</v>
      </c>
      <c r="D47" s="103">
        <v>0</v>
      </c>
      <c r="E47" s="103">
        <f>37520+18760+18760+18760+18760+18760+18760+18760+18760</f>
        <v>187600</v>
      </c>
      <c r="F47" s="103">
        <v>0</v>
      </c>
      <c r="G47" s="103">
        <f>66000+33000+33000+33000+33000+33000+33000+33000+27000</f>
        <v>324000</v>
      </c>
      <c r="H47" s="103">
        <v>0</v>
      </c>
      <c r="I47" s="103">
        <f>18000+9000+9000+9000+9000+9000+9000+9000+9000</f>
        <v>90000</v>
      </c>
      <c r="J47" s="103">
        <v>0</v>
      </c>
      <c r="K47" s="103">
        <v>0</v>
      </c>
      <c r="L47" s="103">
        <f>36000+9000+9000+9000+9000+18000+18000+18000+18000</f>
        <v>144000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925600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3150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3150</v>
      </c>
    </row>
    <row r="50" spans="1:18" ht="14.25">
      <c r="A50" s="132" t="s">
        <v>311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312</v>
      </c>
      <c r="B51" s="119"/>
      <c r="C51" s="119">
        <f>2500+1000+1000+1000+1000</f>
        <v>6500</v>
      </c>
      <c r="D51" s="119"/>
      <c r="E51" s="119">
        <f>2500+1700</f>
        <v>4200</v>
      </c>
      <c r="F51" s="119"/>
      <c r="G51" s="119">
        <v>2400</v>
      </c>
      <c r="H51" s="119"/>
      <c r="I51" s="119"/>
      <c r="J51" s="119"/>
      <c r="K51" s="119"/>
      <c r="L51" s="119">
        <f>2400+3000</f>
        <v>5400</v>
      </c>
      <c r="M51" s="119">
        <v>0</v>
      </c>
      <c r="N51" s="119"/>
      <c r="O51" s="113"/>
      <c r="P51" s="119"/>
      <c r="Q51" s="119"/>
      <c r="R51" s="113">
        <f t="shared" si="1"/>
        <v>18500</v>
      </c>
    </row>
    <row r="52" spans="1:18" ht="14.25">
      <c r="A52" s="133" t="s">
        <v>313</v>
      </c>
      <c r="B52" s="119"/>
      <c r="C52" s="119">
        <v>0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314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SUM(E49:E53)</f>
        <v>4200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8550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21650</v>
      </c>
    </row>
    <row r="55" spans="1:18" ht="15" thickBot="1">
      <c r="A55" s="134" t="s">
        <v>39</v>
      </c>
      <c r="B55" s="136"/>
      <c r="C55" s="123">
        <f>51649+6400+6400+6500+6500+6500+6500+13702+6500</f>
        <v>110651</v>
      </c>
      <c r="D55" s="136">
        <v>0</v>
      </c>
      <c r="E55" s="136">
        <f>8790+1950+2200+4850+1700+6100+1700+4200</f>
        <v>31490</v>
      </c>
      <c r="F55" s="136">
        <v>0</v>
      </c>
      <c r="G55" s="136">
        <f>4800+2400+2400+2400+2400+2400+2400+2400+2400</f>
        <v>24000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9900+4950+20350+5400+12400+10300+13100+13800+8550</f>
        <v>98750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264891</v>
      </c>
    </row>
    <row r="56" spans="1:18" ht="15" thickTop="1">
      <c r="A56" s="137" t="s">
        <v>315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316</v>
      </c>
      <c r="B57" s="125"/>
      <c r="C57" s="125">
        <f>7000+5000+3900+400+500+1800</f>
        <v>18600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18600</v>
      </c>
    </row>
    <row r="58" spans="1:18" ht="14.25">
      <c r="A58" s="133" t="s">
        <v>317</v>
      </c>
      <c r="B58" s="119"/>
      <c r="C58" s="119"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318</v>
      </c>
      <c r="B59" s="119"/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f>200+9780</f>
        <v>9980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SUM(C59:P59)</f>
        <v>9980</v>
      </c>
    </row>
    <row r="60" spans="1:18" ht="14.25">
      <c r="A60" s="137" t="s">
        <v>319</v>
      </c>
      <c r="B60" s="119"/>
      <c r="C60" s="119">
        <f>4500+570</f>
        <v>5070</v>
      </c>
      <c r="D60" s="119">
        <v>0</v>
      </c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730</v>
      </c>
      <c r="M60" s="119"/>
      <c r="N60" s="119"/>
      <c r="O60" s="113"/>
      <c r="P60" s="119"/>
      <c r="Q60" s="119"/>
      <c r="R60" s="113">
        <f>SUM(C60:Q60)</f>
        <v>5800</v>
      </c>
    </row>
    <row r="61" spans="1:18" ht="14.25">
      <c r="A61" s="133" t="s">
        <v>38</v>
      </c>
      <c r="B61" s="103"/>
      <c r="C61" s="122">
        <f>SUM(C57:C60)</f>
        <v>23670</v>
      </c>
      <c r="D61" s="103">
        <f>SUM(D59:D60)</f>
        <v>0</v>
      </c>
      <c r="E61" s="103">
        <f>SUM(E57:E60)</f>
        <v>0</v>
      </c>
      <c r="F61" s="103">
        <f>SUM(F59)</f>
        <v>0</v>
      </c>
      <c r="G61" s="103">
        <f>SUM(G57:G60)</f>
        <v>0</v>
      </c>
      <c r="H61" s="103">
        <f>SUM(H57:H60)</f>
        <v>9980</v>
      </c>
      <c r="I61" s="103">
        <v>0</v>
      </c>
      <c r="J61" s="103">
        <f>SUM(J59)</f>
        <v>0</v>
      </c>
      <c r="K61" s="103">
        <v>0</v>
      </c>
      <c r="L61" s="103">
        <f>SUM(L60)</f>
        <v>730</v>
      </c>
      <c r="M61" s="103">
        <v>0</v>
      </c>
      <c r="N61" s="103">
        <f>SUM(N59)</f>
        <v>0</v>
      </c>
      <c r="O61" s="103">
        <f>SUM(O59)</f>
        <v>0</v>
      </c>
      <c r="P61" s="103">
        <v>0</v>
      </c>
      <c r="Q61" s="103"/>
      <c r="R61" s="115">
        <f>SUM(C61:P61)</f>
        <v>34380</v>
      </c>
    </row>
    <row r="62" spans="1:18" ht="15" thickBot="1">
      <c r="A62" s="134" t="s">
        <v>39</v>
      </c>
      <c r="B62" s="136"/>
      <c r="C62" s="123">
        <f>15720+50547.24+299268+411620+15680+27355+17635+23300+23670</f>
        <v>884795.24</v>
      </c>
      <c r="D62" s="136">
        <f>24000+5400</f>
        <v>29400</v>
      </c>
      <c r="E62" s="136">
        <f>3150+2700+5000+1820+9050+455</f>
        <v>22175</v>
      </c>
      <c r="F62" s="136">
        <f>5300+12000+18900</f>
        <v>36200</v>
      </c>
      <c r="G62" s="136">
        <f>21220+1750+7600+5560+800+3700+7280</f>
        <v>47910</v>
      </c>
      <c r="H62" s="136">
        <f>20390+300+17700+9980</f>
        <v>48370</v>
      </c>
      <c r="I62" s="136">
        <v>0</v>
      </c>
      <c r="J62" s="136">
        <f>132250+5950+1640+1640</f>
        <v>141480</v>
      </c>
      <c r="K62" s="136">
        <v>0</v>
      </c>
      <c r="L62" s="136">
        <f>3300+6150+730</f>
        <v>10180</v>
      </c>
      <c r="M62" s="136">
        <v>0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1487102.24</v>
      </c>
    </row>
    <row r="63" spans="1:18" ht="15" thickTop="1">
      <c r="A63" s="137" t="s">
        <v>320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321</v>
      </c>
      <c r="B64" s="125"/>
      <c r="C64" s="125"/>
      <c r="D64" s="125"/>
      <c r="E64" s="125">
        <v>7194.05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7194.05</v>
      </c>
    </row>
    <row r="65" spans="1:18" ht="14.25">
      <c r="A65" s="133" t="s">
        <v>322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0</v>
      </c>
      <c r="M65" s="119"/>
      <c r="N65" s="119"/>
      <c r="O65" s="113"/>
      <c r="P65" s="119"/>
      <c r="Q65" s="119"/>
      <c r="R65" s="113"/>
    </row>
    <row r="66" spans="1:18" ht="14.25">
      <c r="A66" s="137" t="s">
        <v>323</v>
      </c>
      <c r="B66" s="119"/>
      <c r="C66" s="119"/>
      <c r="D66" s="119"/>
      <c r="E66" s="119">
        <v>340</v>
      </c>
      <c r="F66" s="119"/>
      <c r="G66" s="119">
        <v>0</v>
      </c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340</v>
      </c>
    </row>
    <row r="67" spans="1:18" ht="14.25">
      <c r="A67" s="137" t="s">
        <v>324</v>
      </c>
      <c r="B67" s="119"/>
      <c r="C67" s="119"/>
      <c r="D67" s="119"/>
      <c r="E67" s="119"/>
      <c r="F67" s="119"/>
      <c r="G67" s="119"/>
      <c r="H67" s="119">
        <f>11236.68+68490.24</f>
        <v>79726.92000000001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79726.92000000001</v>
      </c>
    </row>
    <row r="68" spans="1:18" ht="14.25">
      <c r="A68" s="137" t="s">
        <v>325</v>
      </c>
      <c r="B68" s="119"/>
      <c r="C68" s="119">
        <v>0</v>
      </c>
      <c r="D68" s="119"/>
      <c r="E68" s="119"/>
      <c r="F68" s="119"/>
      <c r="G68" s="119"/>
      <c r="H68" s="119">
        <f>25401.6-6048</f>
        <v>19353.6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19353.6</v>
      </c>
    </row>
    <row r="69" spans="1:18" ht="14.25">
      <c r="A69" s="137" t="s">
        <v>326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/>
    </row>
    <row r="70" spans="1:18" ht="14.25">
      <c r="A70" s="137" t="s">
        <v>327</v>
      </c>
      <c r="B70" s="119"/>
      <c r="C70" s="119">
        <v>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0</v>
      </c>
    </row>
    <row r="71" spans="1:18" ht="14.25">
      <c r="A71" s="137" t="s">
        <v>328</v>
      </c>
      <c r="B71" s="119"/>
      <c r="C71" s="119">
        <v>5737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5737</v>
      </c>
    </row>
    <row r="72" spans="1:18" ht="14.25">
      <c r="A72" s="137" t="s">
        <v>329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330</v>
      </c>
      <c r="B74" s="119"/>
      <c r="C74" s="119">
        <f>7200+13200</f>
        <v>20400</v>
      </c>
      <c r="D74" s="119"/>
      <c r="E74" s="119">
        <f>14600+3750</f>
        <v>18350</v>
      </c>
      <c r="F74" s="119"/>
      <c r="G74" s="119">
        <v>0</v>
      </c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SUM(B74:Q74)</f>
        <v>38750</v>
      </c>
    </row>
    <row r="75" spans="1:18" ht="14.25">
      <c r="A75" s="137" t="s">
        <v>331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26137</v>
      </c>
      <c r="D77" s="103">
        <v>0</v>
      </c>
      <c r="E77" s="103">
        <f>SUM(E64:E76)</f>
        <v>25884.05</v>
      </c>
      <c r="F77" s="103">
        <v>0</v>
      </c>
      <c r="G77" s="103">
        <f>SUM(G64:G76)</f>
        <v>0</v>
      </c>
      <c r="H77" s="103">
        <f>SUM(H64:H76)</f>
        <v>99080.52000000002</v>
      </c>
      <c r="I77" s="103">
        <v>0</v>
      </c>
      <c r="J77" s="103">
        <v>0</v>
      </c>
      <c r="K77" s="103">
        <v>0</v>
      </c>
      <c r="L77" s="103">
        <f>SUM(L65:L76)</f>
        <v>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151101.57</v>
      </c>
    </row>
    <row r="78" spans="1:18" ht="15" thickBot="1">
      <c r="A78" s="134" t="s">
        <v>39</v>
      </c>
      <c r="B78" s="136"/>
      <c r="C78" s="123">
        <f>44960+16550+8860+30620+17470+12675+32740+10930+26137</f>
        <v>200942</v>
      </c>
      <c r="D78" s="136">
        <v>0</v>
      </c>
      <c r="E78" s="136">
        <f>19720+37223+6712+4910+30962+3490+520+39989+25884.05</f>
        <v>169410.05</v>
      </c>
      <c r="F78" s="136">
        <v>0</v>
      </c>
      <c r="G78" s="136">
        <f>1800+6890+3200+5360+9881</f>
        <v>27131</v>
      </c>
      <c r="H78" s="136">
        <f>88710.72+85620.06+102662.74+371145.71+16864+48851.6+99080.52</f>
        <v>812935.35</v>
      </c>
      <c r="I78" s="136">
        <v>0</v>
      </c>
      <c r="J78" s="136">
        <v>0</v>
      </c>
      <c r="K78" s="136">
        <v>0</v>
      </c>
      <c r="L78" s="136">
        <f>9950+22640</f>
        <v>32590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1302920.4</v>
      </c>
    </row>
    <row r="79" ht="15" thickTop="1"/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32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335</v>
      </c>
      <c r="B85" s="113"/>
      <c r="C85" s="113">
        <v>260</v>
      </c>
      <c r="D85" s="113"/>
      <c r="E85" s="113"/>
      <c r="F85" s="113"/>
      <c r="G85" s="113">
        <v>70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330</v>
      </c>
    </row>
    <row r="86" spans="1:18" ht="13.5" customHeight="1">
      <c r="A86" s="133" t="s">
        <v>336</v>
      </c>
      <c r="B86" s="113"/>
      <c r="C86" s="113">
        <v>1048.6</v>
      </c>
      <c r="D86" s="113"/>
      <c r="E86" s="113"/>
      <c r="F86" s="113"/>
      <c r="G86" s="113">
        <v>432.28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1480.8799999999999</v>
      </c>
    </row>
    <row r="87" spans="1:18" ht="13.5" customHeight="1">
      <c r="A87" s="132" t="s">
        <v>337</v>
      </c>
      <c r="B87" s="113"/>
      <c r="C87" s="113">
        <v>10000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10000</v>
      </c>
    </row>
    <row r="88" spans="1:18" ht="13.5" customHeight="1">
      <c r="A88" s="133" t="s">
        <v>338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16647.9</v>
      </c>
      <c r="D89" s="103">
        <v>0</v>
      </c>
      <c r="E89" s="103">
        <v>0</v>
      </c>
      <c r="F89" s="103">
        <v>0</v>
      </c>
      <c r="G89" s="103">
        <f>SUM(G84:G88)</f>
        <v>2203.58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18851.480000000003</v>
      </c>
    </row>
    <row r="90" spans="1:18" ht="13.5" customHeight="1" thickBot="1">
      <c r="A90" s="134" t="s">
        <v>39</v>
      </c>
      <c r="B90" s="103"/>
      <c r="C90" s="103">
        <f>34261.68+15288.43+13057.71+12225.42+12746.72+19315.78+6941.09+54294.96+16647.9</f>
        <v>184779.69</v>
      </c>
      <c r="D90" s="103">
        <v>0</v>
      </c>
      <c r="E90" s="103">
        <v>0</v>
      </c>
      <c r="F90" s="103">
        <v>0</v>
      </c>
      <c r="G90" s="103">
        <f>5430.58+2708.65+2853.26+2770.68+2961.1+4771.76+3501.26+8868.95+2203.58</f>
        <v>36069.82000000001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220849.51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0</v>
      </c>
      <c r="M93" s="119"/>
      <c r="N93" s="119"/>
      <c r="O93" s="113"/>
      <c r="P93" s="119"/>
      <c r="Q93" s="119"/>
      <c r="R93" s="113"/>
    </row>
    <row r="94" spans="1:18" ht="13.5" customHeight="1">
      <c r="A94" s="133" t="s">
        <v>495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342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347</v>
      </c>
      <c r="B100" s="120"/>
      <c r="C100" s="120">
        <v>5279.38</v>
      </c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SUM(C100:Q100)</f>
        <v>5279.38</v>
      </c>
    </row>
    <row r="101" spans="1:18" ht="13.5" customHeight="1">
      <c r="A101" s="133" t="s">
        <v>38</v>
      </c>
      <c r="B101" s="103"/>
      <c r="C101" s="103">
        <f>SUM(C100)</f>
        <v>5279.38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f>SUM(L93)</f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SUM(R92:R100)</f>
        <v>5279.38</v>
      </c>
    </row>
    <row r="102" spans="1:18" ht="13.5" customHeight="1" thickBot="1">
      <c r="A102" s="134" t="s">
        <v>39</v>
      </c>
      <c r="B102" s="136"/>
      <c r="C102" s="136">
        <f>9282.25+27000+5279.38</f>
        <v>41561.63</v>
      </c>
      <c r="D102" s="136">
        <v>0</v>
      </c>
      <c r="E102" s="136">
        <v>0</v>
      </c>
      <c r="F102" s="136">
        <v>0</v>
      </c>
      <c r="G102" s="136">
        <f>19000+18350</f>
        <v>37350</v>
      </c>
      <c r="H102" s="136">
        <v>0</v>
      </c>
      <c r="I102" s="136">
        <v>0</v>
      </c>
      <c r="J102" s="136">
        <v>0</v>
      </c>
      <c r="K102" s="136">
        <v>0</v>
      </c>
      <c r="L102" s="136">
        <f>18900</f>
        <v>18900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97811.63</v>
      </c>
    </row>
    <row r="103" spans="1:18" ht="13.5" customHeight="1" thickTop="1">
      <c r="A103" s="137" t="s">
        <v>348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349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350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353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354</v>
      </c>
      <c r="B111" s="120"/>
      <c r="C111" s="119">
        <v>0</v>
      </c>
      <c r="D111" s="119"/>
      <c r="E111" s="119"/>
      <c r="F111" s="119"/>
      <c r="G111" s="119"/>
      <c r="H111" s="119">
        <f>4000-4000</f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355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SUM(R110:R112)</f>
        <v>0</v>
      </c>
    </row>
    <row r="114" spans="1:18" ht="13.5" customHeight="1" thickBot="1">
      <c r="A114" s="134" t="s">
        <v>39</v>
      </c>
      <c r="B114" s="136"/>
      <c r="C114" s="136">
        <f>9000+50000</f>
        <v>59000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1058000+1008000</f>
        <v>2066000</v>
      </c>
      <c r="I114" s="136">
        <f>180000</f>
        <v>180000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2305000</v>
      </c>
    </row>
    <row r="115" spans="1:18" ht="13.5" customHeight="1" thickTop="1">
      <c r="A115" s="137" t="s">
        <v>356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357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19173</v>
      </c>
      <c r="C119" s="103">
        <f>SUM(C22+C28+C33+C46+C54+C61+C77+C89+C101+C107+C113)</f>
        <v>487989.28</v>
      </c>
      <c r="D119" s="195">
        <f aca="true" t="shared" si="2" ref="D119:P119">SUM(D13+D22+D28+D33+D46+D54+D61+D77+D89+D101+D107+D113)</f>
        <v>0</v>
      </c>
      <c r="E119" s="195">
        <f t="shared" si="2"/>
        <v>139994.05</v>
      </c>
      <c r="F119" s="195">
        <f t="shared" si="2"/>
        <v>0</v>
      </c>
      <c r="G119" s="195">
        <f t="shared" si="2"/>
        <v>48523.58</v>
      </c>
      <c r="H119" s="195">
        <f t="shared" si="2"/>
        <v>109060.52000000002</v>
      </c>
      <c r="I119" s="195">
        <f t="shared" si="2"/>
        <v>9000</v>
      </c>
      <c r="J119" s="195">
        <f t="shared" si="2"/>
        <v>0</v>
      </c>
      <c r="K119" s="195">
        <f t="shared" si="2"/>
        <v>0</v>
      </c>
      <c r="L119" s="195">
        <f t="shared" si="2"/>
        <v>66680</v>
      </c>
      <c r="M119" s="195">
        <f t="shared" si="2"/>
        <v>0</v>
      </c>
      <c r="N119" s="195">
        <f t="shared" si="2"/>
        <v>0</v>
      </c>
      <c r="O119" s="195">
        <f t="shared" si="2"/>
        <v>0</v>
      </c>
      <c r="P119" s="195">
        <f t="shared" si="2"/>
        <v>0</v>
      </c>
      <c r="Q119" s="195"/>
      <c r="R119" s="115">
        <f>SUM(B119:Q119)</f>
        <v>880420.43</v>
      </c>
    </row>
    <row r="120" spans="1:18" ht="13.5" customHeight="1" thickBot="1">
      <c r="A120" s="134" t="s">
        <v>39</v>
      </c>
      <c r="B120" s="116">
        <f>SUM(B14)</f>
        <v>467646</v>
      </c>
      <c r="C120" s="136">
        <f>SUM(C23+C29+C34+C47+C55+C62+C78+C90+C102+C114)</f>
        <v>5650905.5600000005</v>
      </c>
      <c r="D120" s="136">
        <f>D62</f>
        <v>29400</v>
      </c>
      <c r="E120" s="136">
        <f>E29+E47+E55+E62+E78</f>
        <v>1235457.05</v>
      </c>
      <c r="F120" s="136">
        <f>F62</f>
        <v>36200</v>
      </c>
      <c r="G120" s="136">
        <f>SUM(G29+G47+G55+G62+G78+G90+G102)</f>
        <v>670523.8200000001</v>
      </c>
      <c r="H120" s="136">
        <f>SUM(H62+H78+H114+H108)</f>
        <v>2967305.35</v>
      </c>
      <c r="I120" s="136">
        <f>I47+I114</f>
        <v>270000</v>
      </c>
      <c r="J120" s="136">
        <f>SUM(J62)</f>
        <v>141480</v>
      </c>
      <c r="K120" s="136">
        <v>0</v>
      </c>
      <c r="L120" s="136">
        <f>SUM(L29+L47+L55+L62+L78+L102)</f>
        <v>717113</v>
      </c>
      <c r="M120" s="136">
        <v>0</v>
      </c>
      <c r="N120" s="136">
        <f>N62+N78</f>
        <v>158499</v>
      </c>
      <c r="O120" s="136">
        <f>SUM(O62)</f>
        <v>168005</v>
      </c>
      <c r="P120" s="136">
        <v>0</v>
      </c>
      <c r="Q120" s="136"/>
      <c r="R120" s="116">
        <f>SUM(B120:Q120)</f>
        <v>12512534.780000001</v>
      </c>
    </row>
    <row r="121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I5:J5"/>
    <mergeCell ref="L5:M5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16">
      <selection activeCell="C96" sqref="C96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119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32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f>110000-8460-8460-12128-4388-4388-4838-4838-4838-4538-22635</f>
        <v>30489</v>
      </c>
      <c r="C8" s="110" t="s">
        <v>282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30489</v>
      </c>
    </row>
    <row r="9" spans="1:18" ht="14.25">
      <c r="A9" s="133" t="s">
        <v>289</v>
      </c>
      <c r="B9" s="113">
        <f>40000-1500-1000-2500-2500-2500-2500-2500-2500-2000-2000-2000</f>
        <v>16500</v>
      </c>
      <c r="C9" s="113"/>
      <c r="D9" s="113"/>
      <c r="E9" s="113"/>
      <c r="F9" s="113" t="s">
        <v>282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16500</v>
      </c>
    </row>
    <row r="10" spans="1:18" ht="14.25">
      <c r="A10" s="133" t="s">
        <v>290</v>
      </c>
      <c r="B10" s="113">
        <f>261795-84000-15000-30000-3700</f>
        <v>129095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129095</v>
      </c>
    </row>
    <row r="11" spans="1:18" ht="14.25">
      <c r="A11" s="133" t="s">
        <v>291</v>
      </c>
      <c r="B11" s="113">
        <f>120000-100000-20000</f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292</v>
      </c>
      <c r="B12" s="129">
        <f>141935-141935+12635-12635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176084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176084</v>
      </c>
    </row>
    <row r="14" spans="1:18" ht="15" thickTop="1">
      <c r="A14" s="135" t="s">
        <v>293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294</v>
      </c>
      <c r="B15" s="119"/>
      <c r="C15" s="113">
        <f>553300-42840-42840-42840-42840-42840-42840-42840-42840-42840-42840</f>
        <v>124900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124900</v>
      </c>
    </row>
    <row r="16" spans="1:18" ht="14.25">
      <c r="A16" s="132" t="s">
        <v>295</v>
      </c>
      <c r="B16" s="120"/>
      <c r="C16" s="120">
        <f>43000-3510-3510-3510-3510-3510-3510-3510-3510-3510-3510</f>
        <v>7900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7900</v>
      </c>
    </row>
    <row r="17" spans="1:18" ht="14.25">
      <c r="A17" s="133" t="s">
        <v>296</v>
      </c>
      <c r="B17" s="119"/>
      <c r="C17" s="119">
        <f>43000-3510-3510-3510-3510-3510-3510-3510-3510-3510-3510</f>
        <v>7900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7900</v>
      </c>
    </row>
    <row r="18" spans="1:18" ht="14.25">
      <c r="A18" s="133" t="s">
        <v>297</v>
      </c>
      <c r="B18" s="119"/>
      <c r="C18" s="113">
        <f>87000-7200-7200-7200-7200-7200-7200-7200-7200-7200-7200</f>
        <v>15000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15000</v>
      </c>
    </row>
    <row r="19" spans="1:18" ht="14.25">
      <c r="A19" s="132" t="s">
        <v>298</v>
      </c>
      <c r="B19" s="120"/>
      <c r="C19" s="120">
        <f>2200000-178800-178800-178800-178800-178800-178800-178800-178800-178800-178800</f>
        <v>412000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412000</v>
      </c>
    </row>
    <row r="20" spans="1:18" ht="14.25">
      <c r="A20" s="133" t="s">
        <v>299</v>
      </c>
      <c r="B20" s="119"/>
      <c r="C20" s="113">
        <f>87000-7200-7200-7200-7200-7200-7200-7200-7200-7200-7200</f>
        <v>15000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15000</v>
      </c>
    </row>
    <row r="21" spans="1:18" ht="15" thickBot="1">
      <c r="A21" s="133" t="s">
        <v>38</v>
      </c>
      <c r="B21" s="136"/>
      <c r="C21" s="123">
        <f>SUM(C15:C20)</f>
        <v>582700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582700</v>
      </c>
    </row>
    <row r="22" spans="1:18" ht="15" thickTop="1">
      <c r="A22" s="132" t="s">
        <v>300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301</v>
      </c>
      <c r="B23" s="119"/>
      <c r="C23" s="119">
        <f>1450000-102230-102630-102430-205659-70000-114760-119367-117210-117210-117210-117210</f>
        <v>164084</v>
      </c>
      <c r="D23" s="119"/>
      <c r="E23" s="119">
        <f>950000-62040-62040-62040-67767-67280-74915-85180-85180-85180-85180</f>
        <v>213198</v>
      </c>
      <c r="F23" s="119"/>
      <c r="G23" s="119">
        <f>180000-14300-14300-14300-24463-16570-16570-16920-16920-16920+50000-16920</f>
        <v>61817</v>
      </c>
      <c r="H23" s="119"/>
      <c r="I23" s="119"/>
      <c r="J23" s="119"/>
      <c r="K23" s="119"/>
      <c r="L23" s="119">
        <f>450000-32560-32560-32560-66465-34560-35208-35900-35900-35900-35900</f>
        <v>72487</v>
      </c>
      <c r="M23" s="119"/>
      <c r="N23" s="119"/>
      <c r="O23" s="113"/>
      <c r="P23" s="119"/>
      <c r="Q23" s="119"/>
      <c r="R23" s="113">
        <f>SUM(C23:P23)</f>
        <v>511586</v>
      </c>
    </row>
    <row r="24" spans="1:18" ht="14.25">
      <c r="A24" s="133" t="s">
        <v>302</v>
      </c>
      <c r="B24" s="119"/>
      <c r="C24" s="119">
        <f>205000-10170-1690-11860-11860-11860-5200-5200-4745-4745-4745-4745</f>
        <v>128180</v>
      </c>
      <c r="D24" s="119"/>
      <c r="E24" s="119">
        <f>140000-7660-1270-8930-8930-8930-3690-3690-2470-2470-2470-2470</f>
        <v>87020</v>
      </c>
      <c r="F24" s="119"/>
      <c r="G24" s="119">
        <f>163000-700-700-30000-3010-1470-30000-50000</f>
        <v>47120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266640</v>
      </c>
    </row>
    <row r="25" spans="1:18" ht="14.25">
      <c r="A25" s="132" t="s">
        <v>303</v>
      </c>
      <c r="B25" s="120"/>
      <c r="C25" s="120">
        <f>180000-14700-14700-14700-14700-14700-14700-14700-14700-14700-14700</f>
        <v>33000</v>
      </c>
      <c r="D25" s="120"/>
      <c r="E25" s="120">
        <f>42000-3500-3500-3500-3500-3500-3500-3500-3500-3500-3500</f>
        <v>7000</v>
      </c>
      <c r="F25" s="120"/>
      <c r="G25" s="120"/>
      <c r="H25" s="120"/>
      <c r="I25" s="120"/>
      <c r="J25" s="120"/>
      <c r="K25" s="120"/>
      <c r="L25" s="120">
        <f>42000-3500-3500-3500-3500-3500-3500-3500-3500-3500-3500</f>
        <v>7000</v>
      </c>
      <c r="M25" s="120"/>
      <c r="N25" s="120"/>
      <c r="O25" s="110"/>
      <c r="P25" s="120"/>
      <c r="Q25" s="120"/>
      <c r="R25" s="110">
        <f>SUM(C25:P25)</f>
        <v>47000</v>
      </c>
    </row>
    <row r="26" spans="1:18" ht="15" thickBot="1">
      <c r="A26" s="133" t="s">
        <v>38</v>
      </c>
      <c r="B26" s="136"/>
      <c r="C26" s="123">
        <f>SUM(C23:C25)</f>
        <v>325264</v>
      </c>
      <c r="D26" s="136">
        <v>0</v>
      </c>
      <c r="E26" s="136">
        <f>SUM(E23:E25)</f>
        <v>307218</v>
      </c>
      <c r="F26" s="136">
        <v>0</v>
      </c>
      <c r="G26" s="136">
        <f>SUM(G23:G25)</f>
        <v>108937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83807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825226</v>
      </c>
    </row>
    <row r="27" spans="1:18" ht="15" thickTop="1">
      <c r="A27" s="132" t="s">
        <v>300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304</v>
      </c>
      <c r="B28" s="119"/>
      <c r="C28" s="119">
        <f>130000-10280-10280-10280-10280-10280-10280-10540-10540-10540-10540</f>
        <v>26160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26160</v>
      </c>
    </row>
    <row r="29" spans="1:18" ht="14.25">
      <c r="A29" s="132" t="s">
        <v>305</v>
      </c>
      <c r="B29" s="121"/>
      <c r="C29" s="120">
        <f>20000-1500-1500-1500-1500-1500-1500-1500-1500-1500-1500</f>
        <v>5000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5000</v>
      </c>
    </row>
    <row r="30" spans="1:18" ht="15" thickBot="1">
      <c r="A30" s="133" t="s">
        <v>38</v>
      </c>
      <c r="B30" s="136"/>
      <c r="C30" s="123">
        <f>SUM(C28:C29)</f>
        <v>31160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31160</v>
      </c>
    </row>
    <row r="31" ht="15" thickTop="1">
      <c r="C31" s="248"/>
    </row>
    <row r="42" spans="1:18" s="107" customFormat="1" ht="14.25">
      <c r="A42" s="108" t="s">
        <v>124</v>
      </c>
      <c r="B42" s="326" t="s">
        <v>100</v>
      </c>
      <c r="C42" s="325" t="s">
        <v>101</v>
      </c>
      <c r="D42" s="325"/>
      <c r="E42" s="325"/>
      <c r="F42" s="130" t="s">
        <v>102</v>
      </c>
      <c r="G42" s="325" t="s">
        <v>103</v>
      </c>
      <c r="H42" s="325"/>
      <c r="I42" s="325" t="s">
        <v>104</v>
      </c>
      <c r="J42" s="325"/>
      <c r="K42" s="130" t="s">
        <v>105</v>
      </c>
      <c r="L42" s="325" t="s">
        <v>106</v>
      </c>
      <c r="M42" s="325"/>
      <c r="N42" s="325" t="s">
        <v>107</v>
      </c>
      <c r="O42" s="325"/>
      <c r="P42" s="329" t="s">
        <v>122</v>
      </c>
      <c r="Q42" s="330"/>
      <c r="R42" s="331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358</v>
      </c>
      <c r="Q43" s="244" t="s">
        <v>123</v>
      </c>
      <c r="R43" s="332"/>
    </row>
    <row r="44" spans="1:18" ht="14.25">
      <c r="A44" s="135" t="s">
        <v>300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307</v>
      </c>
      <c r="B45" s="113"/>
      <c r="C45" s="113">
        <f>150000-12130-12130-12130-12130-12130-12130-12130-12130-12130-12130</f>
        <v>28700</v>
      </c>
      <c r="D45" s="113"/>
      <c r="E45" s="113">
        <f>170000-13600-13600-13600-13600-13600-13600-13600-13600-13600-13600</f>
        <v>34000</v>
      </c>
      <c r="F45" s="113"/>
      <c r="G45" s="113">
        <f>250000-20220-20220-20220-20220-20220-20220-20220-20220-20220-16020</f>
        <v>52000</v>
      </c>
      <c r="H45" s="113"/>
      <c r="I45" s="113">
        <f>70000-5340-5340-5340-5340-5340-5340-5340-5340-5340-5340</f>
        <v>16600</v>
      </c>
      <c r="J45" s="113"/>
      <c r="K45" s="113"/>
      <c r="L45" s="113">
        <f>160000-12670-12670-5340-5340-5340-5340-11390-11390-11390-11390</f>
        <v>67740</v>
      </c>
      <c r="M45" s="113"/>
      <c r="N45" s="113"/>
      <c r="O45" s="113"/>
      <c r="P45" s="113"/>
      <c r="Q45" s="113"/>
      <c r="R45" s="113">
        <f>SUM(C45:P45)</f>
        <v>199040</v>
      </c>
    </row>
    <row r="46" spans="1:18" ht="14.25">
      <c r="A46" s="132" t="s">
        <v>308</v>
      </c>
      <c r="B46" s="110"/>
      <c r="C46" s="110">
        <f>71000-5870-5870-5870-5870-5870-5870-5870-5870-5870-5870</f>
        <v>12300</v>
      </c>
      <c r="D46" s="110"/>
      <c r="E46" s="110">
        <f>63000-5160-5160-5160-5160-5160-5160-5160-5160-5160-5160</f>
        <v>11400</v>
      </c>
      <c r="F46" s="110"/>
      <c r="G46" s="110">
        <f>160000-12780-12780-12780-12780-12780-12780-12780-12780-12780-10980</f>
        <v>34000</v>
      </c>
      <c r="H46" s="110"/>
      <c r="I46" s="110">
        <f>45000-3660-3660-3660-3660-3660-3660-3660-3660-3660-3660</f>
        <v>8400</v>
      </c>
      <c r="J46" s="110"/>
      <c r="K46" s="110"/>
      <c r="L46" s="110">
        <f>65000-5330-5330-3660-3660-3660-3660-6610-6610-6610-6610</f>
        <v>13260</v>
      </c>
      <c r="M46" s="110"/>
      <c r="N46" s="110"/>
      <c r="O46" s="110"/>
      <c r="P46" s="110"/>
      <c r="Q46" s="110"/>
      <c r="R46" s="110">
        <f>SUM(C46:P46)</f>
        <v>79360</v>
      </c>
    </row>
    <row r="47" spans="1:18" ht="15" thickBot="1">
      <c r="A47" s="133" t="s">
        <v>38</v>
      </c>
      <c r="B47" s="103"/>
      <c r="C47" s="115">
        <f>SUM(C45:C46)</f>
        <v>41000</v>
      </c>
      <c r="D47" s="103">
        <v>0</v>
      </c>
      <c r="E47" s="103">
        <f>SUM(E44:E46)</f>
        <v>45400</v>
      </c>
      <c r="F47" s="103">
        <v>0</v>
      </c>
      <c r="G47" s="103">
        <f>SUM(G45:G46)</f>
        <v>86000</v>
      </c>
      <c r="H47" s="103">
        <v>0</v>
      </c>
      <c r="I47" s="103">
        <f>SUM(I45:I46)</f>
        <v>25000</v>
      </c>
      <c r="J47" s="103">
        <v>0</v>
      </c>
      <c r="K47" s="103">
        <v>0</v>
      </c>
      <c r="L47" s="103">
        <f>SUM(L45:L46)</f>
        <v>81000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278400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220000-15400-7000-4900-7700-8400+10000-3150</f>
        <v>183450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1048450</v>
      </c>
    </row>
    <row r="50" spans="1:18" ht="14.25">
      <c r="A50" s="132" t="s">
        <v>311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f>10000-10000</f>
        <v>0</v>
      </c>
      <c r="M50" s="120"/>
      <c r="N50" s="120"/>
      <c r="O50" s="110"/>
      <c r="P50" s="120"/>
      <c r="Q50" s="120"/>
      <c r="R50" s="110">
        <f t="shared" si="1"/>
        <v>70060</v>
      </c>
    </row>
    <row r="51" spans="1:18" ht="14.25">
      <c r="A51" s="133" t="s">
        <v>312</v>
      </c>
      <c r="B51" s="119"/>
      <c r="C51" s="119">
        <f>90000-2400-6400-6400-6400-6500-6500-6500-6500-6500-6500</f>
        <v>29400</v>
      </c>
      <c r="D51" s="119"/>
      <c r="E51" s="119">
        <f>50000-1950-1950-1950-1950-2200-4400-1700-6100-1700-4200</f>
        <v>21900</v>
      </c>
      <c r="F51" s="119"/>
      <c r="G51" s="119">
        <f>30000-2400-2400-2400-2400-2400-2400-2400-2400-2400-2400</f>
        <v>6000</v>
      </c>
      <c r="H51" s="119"/>
      <c r="I51" s="119"/>
      <c r="J51" s="119"/>
      <c r="K51" s="119"/>
      <c r="L51" s="119">
        <f>65000-3000-1950-3000-1950-4950-4950-5400-5400-5400-5400-5400-5400</f>
        <v>12800</v>
      </c>
      <c r="M51" s="119"/>
      <c r="N51" s="119"/>
      <c r="O51" s="113"/>
      <c r="P51" s="119"/>
      <c r="Q51" s="119"/>
      <c r="R51" s="113">
        <f t="shared" si="1"/>
        <v>70100</v>
      </c>
    </row>
    <row r="52" spans="1:18" ht="14.25">
      <c r="A52" s="133" t="s">
        <v>313</v>
      </c>
      <c r="B52" s="119"/>
      <c r="C52" s="119">
        <f>50000-12854-7202</f>
        <v>29944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39494</v>
      </c>
    </row>
    <row r="53" spans="1:18" ht="14.25">
      <c r="A53" s="169" t="s">
        <v>314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>
        <f>SUM(C53)</f>
        <v>5</v>
      </c>
    </row>
    <row r="54" spans="1:18" ht="15" thickBot="1">
      <c r="A54" s="133" t="s">
        <v>38</v>
      </c>
      <c r="B54" s="136"/>
      <c r="C54" s="123">
        <f>SUM(C49:C53)</f>
        <v>524349</v>
      </c>
      <c r="D54" s="136">
        <v>0</v>
      </c>
      <c r="E54" s="136">
        <f>SUM(E49:E53)</f>
        <v>333510</v>
      </c>
      <c r="F54" s="136">
        <v>0</v>
      </c>
      <c r="G54" s="136">
        <f>SUM(G49:G53)</f>
        <v>146000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201250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1228109</v>
      </c>
    </row>
    <row r="55" spans="1:18" ht="15" thickTop="1">
      <c r="A55" s="137" t="s">
        <v>315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316</v>
      </c>
      <c r="B56" s="125"/>
      <c r="C56" s="125">
        <f>500000-12750-22484-148468-13000-50000-12800-21900-24000-16885-12400-10000-18600</f>
        <v>136713</v>
      </c>
      <c r="D56" s="125"/>
      <c r="E56" s="125">
        <f>100000-2400-2000-7800</f>
        <v>87800</v>
      </c>
      <c r="F56" s="125"/>
      <c r="G56" s="125">
        <f>80000-14500-7600-800-3700-600</f>
        <v>52800</v>
      </c>
      <c r="H56" s="125"/>
      <c r="I56" s="125">
        <v>15000</v>
      </c>
      <c r="J56" s="125"/>
      <c r="K56" s="125" t="s">
        <v>282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529013</v>
      </c>
    </row>
    <row r="57" spans="1:18" ht="14.25">
      <c r="A57" s="133" t="s">
        <v>317</v>
      </c>
      <c r="B57" s="119"/>
      <c r="C57" s="119">
        <f>20000-750</f>
        <v>19250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29250</v>
      </c>
    </row>
    <row r="58" spans="1:18" ht="14.25">
      <c r="A58" s="137" t="s">
        <v>318</v>
      </c>
      <c r="B58" s="119"/>
      <c r="C58" s="119">
        <f>615000-800-24417.75-149650+70000-398620+30000-2280-4600-10000</f>
        <v>124632.25</v>
      </c>
      <c r="D58" s="119">
        <f>30000-24000-5400</f>
        <v>600</v>
      </c>
      <c r="E58" s="119">
        <f>50000-30000</f>
        <v>20000</v>
      </c>
      <c r="F58" s="119">
        <f>240000-5300-12000-18900</f>
        <v>203800</v>
      </c>
      <c r="G58" s="119">
        <f>20000-6720-3760-6680+10000</f>
        <v>12840</v>
      </c>
      <c r="H58" s="119">
        <f>85000-20390-300-17700-9980</f>
        <v>36630</v>
      </c>
      <c r="I58" s="119">
        <v>5000</v>
      </c>
      <c r="J58" s="119">
        <f>170000-132250-5950-1640-1640</f>
        <v>28520</v>
      </c>
      <c r="K58" s="119">
        <f>90000-60000</f>
        <v>30000</v>
      </c>
      <c r="L58" s="119"/>
      <c r="M58" s="119"/>
      <c r="N58" s="119">
        <f>100000-33992-2795-61800</f>
        <v>1413</v>
      </c>
      <c r="O58" s="113">
        <f>150000-9600-1000-84955+24000-72450</f>
        <v>5995</v>
      </c>
      <c r="P58" s="119">
        <v>30000</v>
      </c>
      <c r="Q58" s="119"/>
      <c r="R58" s="113">
        <f>SUM(C58:P58)</f>
        <v>499430.25</v>
      </c>
    </row>
    <row r="59" spans="1:18" ht="14.25">
      <c r="A59" s="137" t="s">
        <v>319</v>
      </c>
      <c r="B59" s="119"/>
      <c r="C59" s="119">
        <f>20000-2170-3645.49-1150-600-5455-6300+10000-5070+10000</f>
        <v>15609.51</v>
      </c>
      <c r="D59" s="119"/>
      <c r="E59" s="119">
        <f>20000-3150-300-3000-1820-1250-455</f>
        <v>10025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f>15000-6150-730</f>
        <v>8120</v>
      </c>
      <c r="M59" s="119"/>
      <c r="N59" s="119"/>
      <c r="O59" s="113"/>
      <c r="P59" s="119"/>
      <c r="Q59" s="119"/>
      <c r="R59" s="113">
        <f>SUM(C59:Q59)</f>
        <v>55204.51</v>
      </c>
    </row>
    <row r="60" spans="1:18" ht="15" thickBot="1">
      <c r="A60" s="133" t="s">
        <v>38</v>
      </c>
      <c r="B60" s="136"/>
      <c r="C60" s="123">
        <f>SUM(C56:C59)</f>
        <v>296204.76</v>
      </c>
      <c r="D60" s="136">
        <f>SUM(D58:D59)</f>
        <v>600</v>
      </c>
      <c r="E60" s="136">
        <f>SUM(E56:E59)</f>
        <v>117825</v>
      </c>
      <c r="F60" s="136">
        <f>SUM(F58)</f>
        <v>203800</v>
      </c>
      <c r="G60" s="136">
        <f>SUM(G56:G59)</f>
        <v>87090</v>
      </c>
      <c r="H60" s="136">
        <f>SUM(H56:H59)</f>
        <v>36630</v>
      </c>
      <c r="I60" s="136">
        <f>SUM(I56:I59)</f>
        <v>30000</v>
      </c>
      <c r="J60" s="136">
        <f>SUM(J58)</f>
        <v>28520</v>
      </c>
      <c r="K60" s="136">
        <f>SUM(K56:K59)</f>
        <v>30000</v>
      </c>
      <c r="L60" s="136">
        <f>SUM(L56:L59)</f>
        <v>94820</v>
      </c>
      <c r="M60" s="136">
        <f>SUM(M56:M59)</f>
        <v>150000</v>
      </c>
      <c r="N60" s="136">
        <f>SUM(N58)</f>
        <v>1413</v>
      </c>
      <c r="O60" s="136">
        <f>SUM(O56:O59)</f>
        <v>5995</v>
      </c>
      <c r="P60" s="136">
        <f>SUM(P56:P59)</f>
        <v>30000</v>
      </c>
      <c r="Q60" s="136"/>
      <c r="R60" s="116">
        <f>SUM(C60:P60)</f>
        <v>1112897.76</v>
      </c>
    </row>
    <row r="61" spans="1:18" ht="15" thickTop="1">
      <c r="A61" s="137" t="s">
        <v>320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321</v>
      </c>
      <c r="B62" s="125"/>
      <c r="C62" s="125"/>
      <c r="D62" s="125"/>
      <c r="E62" s="125">
        <f>100000-31303-6612-4430-7826-3290-18022-7194.05+20000</f>
        <v>41322.95</v>
      </c>
      <c r="F62" s="125"/>
      <c r="G62" s="125">
        <f>20000-6890-5360</f>
        <v>7750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49072.95</v>
      </c>
    </row>
    <row r="63" spans="1:18" ht="14.25">
      <c r="A63" s="133" t="s">
        <v>322</v>
      </c>
      <c r="B63" s="119"/>
      <c r="C63" s="119"/>
      <c r="D63" s="119" t="s">
        <v>282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323</v>
      </c>
      <c r="B64" s="119"/>
      <c r="C64" s="119"/>
      <c r="D64" s="119"/>
      <c r="E64" s="119">
        <f>30000-220-320-100-480-5636-200-520-4917-3000-340</f>
        <v>14267</v>
      </c>
      <c r="F64" s="119"/>
      <c r="G64" s="119">
        <f>20000-9881</f>
        <v>10119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24386</v>
      </c>
    </row>
    <row r="65" spans="1:18" ht="14.25">
      <c r="A65" s="137" t="s">
        <v>324</v>
      </c>
      <c r="B65" s="119"/>
      <c r="C65" s="119"/>
      <c r="D65" s="119"/>
      <c r="E65" s="119"/>
      <c r="F65" s="119"/>
      <c r="G65" s="119"/>
      <c r="H65" s="119">
        <f>1022870-67878.72-67764.06-82822.74-357257.71-37965.2+12000-79726.92</f>
        <v>341454.64999999997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341454.64999999997</v>
      </c>
    </row>
    <row r="66" spans="1:18" ht="14.25">
      <c r="A66" s="137" t="s">
        <v>325</v>
      </c>
      <c r="B66" s="119"/>
      <c r="C66" s="119"/>
      <c r="D66" s="119"/>
      <c r="E66" s="119"/>
      <c r="F66" s="119"/>
      <c r="G66" s="119"/>
      <c r="H66" s="119">
        <f>262400-20832-17856-20832+992-13888-16864-10886.4-12000-19353.6</f>
        <v>130880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130880</v>
      </c>
    </row>
    <row r="67" spans="1:18" ht="14.25">
      <c r="A67" s="137" t="s">
        <v>326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20000-19440</f>
        <v>560</v>
      </c>
      <c r="M67" s="119"/>
      <c r="N67" s="119"/>
      <c r="O67" s="113"/>
      <c r="P67" s="119"/>
      <c r="Q67" s="119"/>
      <c r="R67" s="113">
        <f t="shared" si="2"/>
        <v>560</v>
      </c>
    </row>
    <row r="68" spans="1:18" ht="14.25">
      <c r="A68" s="137" t="s">
        <v>327</v>
      </c>
      <c r="B68" s="119"/>
      <c r="C68" s="119">
        <f>60000-13000-2700-12200</f>
        <v>32100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32100</v>
      </c>
    </row>
    <row r="69" spans="1:18" ht="14.25">
      <c r="A69" s="137" t="s">
        <v>328</v>
      </c>
      <c r="B69" s="119"/>
      <c r="C69" s="119">
        <f>150000-19760-7950-8860-12820-6170-12675-9940-10930-5737</f>
        <v>55158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55158</v>
      </c>
    </row>
    <row r="70" spans="1:18" ht="14.25">
      <c r="A70" s="137" t="s">
        <v>359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329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330</v>
      </c>
      <c r="B73" s="119"/>
      <c r="C73" s="119">
        <f>40000-21200-4000-8600-4800+20000-8600-10600+9000+10000-20400</f>
        <v>800</v>
      </c>
      <c r="D73" s="119"/>
      <c r="E73" s="119">
        <f>60000-19500-5600-17500-17050+15000-18350+10000</f>
        <v>7000</v>
      </c>
      <c r="F73" s="119"/>
      <c r="G73" s="119">
        <f>20000-1800-3200</f>
        <v>15000</v>
      </c>
      <c r="H73" s="119"/>
      <c r="I73" s="119"/>
      <c r="J73" s="119"/>
      <c r="K73" s="119"/>
      <c r="L73" s="119">
        <f>25000-3200-21000</f>
        <v>800</v>
      </c>
      <c r="M73" s="119"/>
      <c r="N73" s="119"/>
      <c r="O73" s="113"/>
      <c r="P73" s="119"/>
      <c r="Q73" s="119"/>
      <c r="R73" s="113">
        <f t="shared" si="2"/>
        <v>23600</v>
      </c>
    </row>
    <row r="74" spans="1:18" ht="14.25">
      <c r="A74" s="137" t="s">
        <v>331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332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108058</v>
      </c>
      <c r="D76" s="136">
        <v>0</v>
      </c>
      <c r="E76" s="136">
        <f>SUM(E62:E75)</f>
        <v>62589.95</v>
      </c>
      <c r="F76" s="136">
        <v>0</v>
      </c>
      <c r="G76" s="136">
        <f>SUM(G62:G75)</f>
        <v>32869</v>
      </c>
      <c r="H76" s="136">
        <f>SUM(H62:H75)</f>
        <v>512334.64999999997</v>
      </c>
      <c r="I76" s="136">
        <f>SUM(I62:I75)</f>
        <v>40000</v>
      </c>
      <c r="J76" s="136">
        <v>0</v>
      </c>
      <c r="K76" s="136">
        <v>0</v>
      </c>
      <c r="L76" s="136">
        <f>SUM(L63:L75)</f>
        <v>26410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782349.6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6" t="s">
        <v>100</v>
      </c>
      <c r="C82" s="325" t="s">
        <v>101</v>
      </c>
      <c r="D82" s="325"/>
      <c r="E82" s="325"/>
      <c r="F82" s="130" t="s">
        <v>102</v>
      </c>
      <c r="G82" s="325" t="s">
        <v>103</v>
      </c>
      <c r="H82" s="325"/>
      <c r="I82" s="325" t="s">
        <v>104</v>
      </c>
      <c r="J82" s="325"/>
      <c r="K82" s="130" t="s">
        <v>105</v>
      </c>
      <c r="L82" s="325" t="s">
        <v>106</v>
      </c>
      <c r="M82" s="325"/>
      <c r="N82" s="325" t="s">
        <v>107</v>
      </c>
      <c r="O82" s="325"/>
      <c r="P82" s="329" t="s">
        <v>122</v>
      </c>
      <c r="Q82" s="330"/>
      <c r="R82" s="331" t="s">
        <v>20</v>
      </c>
    </row>
    <row r="83" spans="1:18" s="107" customFormat="1" ht="13.5" customHeight="1">
      <c r="A83" s="261" t="s">
        <v>125</v>
      </c>
      <c r="B83" s="326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358</v>
      </c>
      <c r="Q83" s="244" t="s">
        <v>123</v>
      </c>
      <c r="R83" s="332"/>
    </row>
    <row r="84" spans="1:18" ht="13.5" customHeight="1">
      <c r="A84" s="131" t="s">
        <v>333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334</v>
      </c>
      <c r="B85" s="110"/>
      <c r="C85" s="110">
        <f>150000-10761.72-8735.51-6481.87-5426.2-5926.68-12592.16-195.33-40725.66</f>
        <v>59154.87000000001</v>
      </c>
      <c r="D85" s="110"/>
      <c r="E85" s="113"/>
      <c r="F85" s="110"/>
      <c r="G85" s="110">
        <f>30000-1137.7-522.95-561.82-501.42-429.66-1899.76-1369.82-6733.23</f>
        <v>16843.640000000003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75998.51000000001</v>
      </c>
    </row>
    <row r="86" spans="1:18" ht="13.5" customHeight="1">
      <c r="A86" s="133" t="s">
        <v>335</v>
      </c>
      <c r="B86" s="113"/>
      <c r="C86" s="113">
        <f>6000-630-180-250-330-430-340-360-160-260</f>
        <v>3060</v>
      </c>
      <c r="D86" s="113"/>
      <c r="E86" s="113"/>
      <c r="F86" s="266"/>
      <c r="G86" s="113">
        <f>5000-30-35-160-110-400-732-70</f>
        <v>3463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6523</v>
      </c>
    </row>
    <row r="87" spans="1:18" ht="13.5" customHeight="1">
      <c r="A87" s="133" t="s">
        <v>336</v>
      </c>
      <c r="B87" s="113"/>
      <c r="C87" s="113">
        <f>20000-1134.2-1057.16-1033.62-986.54-1129.92-1050.74-1044.32-1046.46-1070-1048.6</f>
        <v>9398.44</v>
      </c>
      <c r="D87" s="263" t="s">
        <v>462</v>
      </c>
      <c r="E87" s="263"/>
      <c r="F87" s="264"/>
      <c r="G87" s="113">
        <f>10000-432.28-428-449.4-430.14-457.96-430.14-438.7-430.14-434.42-432.28</f>
        <v>5636.54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15034.98</v>
      </c>
    </row>
    <row r="88" spans="1:18" ht="13.5" customHeight="1">
      <c r="A88" s="132" t="s">
        <v>337</v>
      </c>
      <c r="B88" s="113"/>
      <c r="C88" s="113">
        <f>10000-10000+10000-10000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338</v>
      </c>
      <c r="B89" s="114"/>
      <c r="C89" s="114">
        <f>90000-5339.3-5339.3-5339.3-5339.3-5339.3-5339.3-5339.3-5339.3-12339.3-5339.3</f>
        <v>29606.999999999975</v>
      </c>
      <c r="D89" s="129"/>
      <c r="E89" s="129"/>
      <c r="F89" s="267"/>
      <c r="G89" s="114">
        <f>25000-1701.3-1701.3-1701.3-1701.3-1701.3-1701.3-1701.3-1701.3-1701.3-1701.3</f>
        <v>7987.000000000006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37593.99999999998</v>
      </c>
    </row>
    <row r="90" spans="1:18" ht="13.5" customHeight="1" thickBot="1">
      <c r="A90" s="133" t="s">
        <v>38</v>
      </c>
      <c r="B90" s="103"/>
      <c r="C90" s="103">
        <f>SUM(C85:C89)</f>
        <v>101220.30999999998</v>
      </c>
      <c r="D90" s="103">
        <v>0</v>
      </c>
      <c r="E90" s="103">
        <v>0</v>
      </c>
      <c r="F90" s="103">
        <v>0</v>
      </c>
      <c r="G90" s="103">
        <f>SUM(G84:G89)</f>
        <v>33930.18000000001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135150.49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>
        <f>80000-27000</f>
        <v>53000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100">SUM(C92:Q92)</f>
        <v>91000</v>
      </c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f>25000-18900</f>
        <v>6100</v>
      </c>
      <c r="M93" s="119"/>
      <c r="N93" s="119"/>
      <c r="O93" s="113"/>
      <c r="P93" s="119"/>
      <c r="Q93" s="119"/>
      <c r="R93" s="113">
        <f t="shared" si="3"/>
        <v>6100</v>
      </c>
    </row>
    <row r="94" spans="1:18" ht="13.5" customHeight="1">
      <c r="A94" s="236" t="s">
        <v>495</v>
      </c>
      <c r="B94" s="119"/>
      <c r="C94" s="119">
        <f>27000-27000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SUM(C94)</f>
        <v>0</v>
      </c>
    </row>
    <row r="95" spans="1:18" ht="13.5" customHeight="1">
      <c r="A95" s="240" t="s">
        <v>342</v>
      </c>
      <c r="B95" s="119"/>
      <c r="C95" s="119"/>
      <c r="D95" s="119"/>
      <c r="E95" s="119"/>
      <c r="F95" s="119"/>
      <c r="G95" s="119">
        <v>15000</v>
      </c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15000</v>
      </c>
    </row>
    <row r="96" spans="1:18" ht="13.5" customHeight="1">
      <c r="A96" s="236" t="s">
        <v>343</v>
      </c>
      <c r="B96" s="119"/>
      <c r="C96" s="119"/>
      <c r="D96" s="119"/>
      <c r="E96" s="119"/>
      <c r="F96" s="119"/>
      <c r="G96" s="119"/>
      <c r="H96" s="119">
        <v>10000</v>
      </c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10000</v>
      </c>
    </row>
    <row r="97" spans="1:18" ht="13.5" customHeight="1">
      <c r="A97" s="240" t="s">
        <v>344</v>
      </c>
      <c r="B97" s="119"/>
      <c r="C97" s="119"/>
      <c r="D97" s="119"/>
      <c r="E97" s="119"/>
      <c r="F97" s="119"/>
      <c r="G97" s="119">
        <v>30000</v>
      </c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>
        <f t="shared" si="3"/>
        <v>30000</v>
      </c>
    </row>
    <row r="98" spans="1:18" ht="13.5" customHeight="1">
      <c r="A98" s="241" t="s">
        <v>345</v>
      </c>
      <c r="B98" s="125"/>
      <c r="C98" s="125"/>
      <c r="D98" s="125"/>
      <c r="E98" s="125"/>
      <c r="F98" s="125"/>
      <c r="G98" s="125">
        <v>5000</v>
      </c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>
        <f t="shared" si="3"/>
        <v>5000</v>
      </c>
    </row>
    <row r="99" spans="1:18" ht="13.5" customHeight="1">
      <c r="A99" s="240" t="s">
        <v>346</v>
      </c>
      <c r="B99" s="119"/>
      <c r="C99" s="119"/>
      <c r="D99" s="119"/>
      <c r="E99" s="119"/>
      <c r="F99" s="119"/>
      <c r="G99" s="119">
        <v>5000</v>
      </c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>
        <f t="shared" si="3"/>
        <v>5000</v>
      </c>
    </row>
    <row r="100" spans="1:18" ht="13.5" customHeight="1">
      <c r="A100" s="132" t="s">
        <v>347</v>
      </c>
      <c r="B100" s="120"/>
      <c r="C100" s="120">
        <f>50000-9282.25-5279.38</f>
        <v>35438.37</v>
      </c>
      <c r="D100" s="120"/>
      <c r="E100" s="120"/>
      <c r="F100" s="120"/>
      <c r="G100" s="120">
        <f>20000-19000+30000-18350</f>
        <v>12650</v>
      </c>
      <c r="H100" s="196"/>
      <c r="I100" s="120"/>
      <c r="J100" s="120"/>
      <c r="K100" s="120"/>
      <c r="L100" s="120">
        <v>20000</v>
      </c>
      <c r="M100" s="120"/>
      <c r="N100" s="120"/>
      <c r="O100" s="110"/>
      <c r="P100" s="120"/>
      <c r="Q100" s="120"/>
      <c r="R100" s="251">
        <f t="shared" si="3"/>
        <v>68088.37</v>
      </c>
    </row>
    <row r="101" spans="1:18" ht="13.5" customHeight="1" thickBot="1">
      <c r="A101" s="133" t="s">
        <v>38</v>
      </c>
      <c r="B101" s="136"/>
      <c r="C101" s="136">
        <f>SUM(C92:C100)</f>
        <v>88438.37</v>
      </c>
      <c r="D101" s="136">
        <v>0</v>
      </c>
      <c r="E101" s="136">
        <v>0</v>
      </c>
      <c r="F101" s="136">
        <v>0</v>
      </c>
      <c r="G101" s="136">
        <f>SUM(G92:G100)</f>
        <v>87650</v>
      </c>
      <c r="H101" s="136">
        <f>SUM(H92:H100)</f>
        <v>10000</v>
      </c>
      <c r="I101" s="136">
        <v>0</v>
      </c>
      <c r="J101" s="136">
        <v>0</v>
      </c>
      <c r="K101" s="136">
        <v>0</v>
      </c>
      <c r="L101" s="136">
        <f>SUM(L92:L100)</f>
        <v>44100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252">
        <f>SUM(R92:R100)</f>
        <v>230188.37</v>
      </c>
    </row>
    <row r="102" spans="1:18" ht="13.5" customHeight="1" thickTop="1">
      <c r="A102" s="137" t="s">
        <v>348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</row>
    <row r="103" spans="1:18" ht="13.5" customHeight="1">
      <c r="A103" s="137" t="s">
        <v>349</v>
      </c>
      <c r="B103" s="125"/>
      <c r="C103" s="125"/>
      <c r="D103" s="125"/>
      <c r="E103" s="125"/>
      <c r="F103" s="125"/>
      <c r="G103" s="125"/>
      <c r="H103" s="125">
        <f>40000-40000</f>
        <v>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0</v>
      </c>
    </row>
    <row r="104" spans="1:18" ht="13.5" customHeight="1">
      <c r="A104" s="137" t="s">
        <v>350</v>
      </c>
      <c r="B104" s="125"/>
      <c r="C104" s="125"/>
      <c r="D104" s="125"/>
      <c r="E104" s="113"/>
      <c r="F104" s="125"/>
      <c r="G104" s="125"/>
      <c r="H104" s="125">
        <v>70000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70000</v>
      </c>
    </row>
    <row r="105" spans="1:18" ht="13.5" customHeight="1">
      <c r="A105" s="133" t="s">
        <v>351</v>
      </c>
      <c r="B105" s="119"/>
      <c r="C105" s="119"/>
      <c r="D105" s="119"/>
      <c r="E105" s="235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4451900</v>
      </c>
      <c r="R105" s="113">
        <f>SUM(C105:Q105)</f>
        <v>4451900</v>
      </c>
    </row>
    <row r="106" spans="1:18" ht="13.5" customHeight="1" thickBot="1">
      <c r="A106" s="133" t="s">
        <v>38</v>
      </c>
      <c r="B106" s="136"/>
      <c r="C106" s="136">
        <f>SUM(C104:C105)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SUM(H103:H105)</f>
        <v>70000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SUM(Q103:Q105)</f>
        <v>4451900</v>
      </c>
      <c r="R106" s="252">
        <f>SUM(R103:R105)</f>
        <v>4521900</v>
      </c>
    </row>
    <row r="107" spans="1:18" ht="13.5" customHeight="1" thickTop="1">
      <c r="A107" s="137" t="s">
        <v>352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6"/>
      <c r="P107" s="125"/>
      <c r="Q107" s="125"/>
      <c r="R107" s="126"/>
    </row>
    <row r="108" spans="1:18" ht="13.5" customHeight="1">
      <c r="A108" s="137" t="s">
        <v>353</v>
      </c>
      <c r="B108" s="113"/>
      <c r="C108" s="119">
        <f>9000-9000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3"/>
      <c r="P108" s="119"/>
      <c r="Q108" s="119"/>
      <c r="R108" s="113">
        <f>SUM(C108:Q108)</f>
        <v>0</v>
      </c>
    </row>
    <row r="109" spans="1:18" ht="13.5" customHeight="1">
      <c r="A109" s="137" t="s">
        <v>354</v>
      </c>
      <c r="B109" s="120"/>
      <c r="C109" s="119">
        <f>50000-50000</f>
        <v>0</v>
      </c>
      <c r="D109" s="119"/>
      <c r="E109" s="119"/>
      <c r="F109" s="119"/>
      <c r="G109" s="119"/>
      <c r="H109" s="119">
        <f>2120000-1058000-1008000</f>
        <v>54000</v>
      </c>
      <c r="I109" s="119"/>
      <c r="J109" s="119"/>
      <c r="K109" s="119"/>
      <c r="L109" s="119"/>
      <c r="M109" s="119"/>
      <c r="N109" s="119"/>
      <c r="O109" s="119">
        <v>0</v>
      </c>
      <c r="P109" s="113"/>
      <c r="Q109" s="113"/>
      <c r="R109" s="113">
        <f>SUM(C109:P109)</f>
        <v>54000</v>
      </c>
    </row>
    <row r="110" spans="1:18" ht="13.5" customHeight="1">
      <c r="A110" s="133" t="s">
        <v>355</v>
      </c>
      <c r="B110" s="119"/>
      <c r="C110" s="119">
        <v>5000</v>
      </c>
      <c r="D110" s="119"/>
      <c r="E110" s="119"/>
      <c r="F110" s="119"/>
      <c r="G110" s="119"/>
      <c r="H110" s="119"/>
      <c r="I110" s="119">
        <f>120000+60000-180000</f>
        <v>0</v>
      </c>
      <c r="J110" s="119"/>
      <c r="K110" s="119"/>
      <c r="L110" s="119"/>
      <c r="M110" s="119"/>
      <c r="N110" s="119"/>
      <c r="O110" s="119"/>
      <c r="P110" s="113"/>
      <c r="Q110" s="113"/>
      <c r="R110" s="113">
        <f>SUM(C110:P110)</f>
        <v>5000</v>
      </c>
    </row>
    <row r="111" spans="1:18" ht="13.5" customHeight="1" thickBot="1">
      <c r="A111" s="133" t="s">
        <v>38</v>
      </c>
      <c r="B111" s="136"/>
      <c r="C111" s="136">
        <f>SUM(C108:C110)</f>
        <v>5000</v>
      </c>
      <c r="D111" s="136">
        <v>0</v>
      </c>
      <c r="E111" s="136">
        <v>0</v>
      </c>
      <c r="F111" s="136">
        <v>0</v>
      </c>
      <c r="G111" s="136">
        <v>0</v>
      </c>
      <c r="H111" s="136">
        <f>SUM(H109)</f>
        <v>54000</v>
      </c>
      <c r="I111" s="136">
        <f>SUM(I110)</f>
        <v>0</v>
      </c>
      <c r="J111" s="136">
        <v>0</v>
      </c>
      <c r="K111" s="136">
        <v>0</v>
      </c>
      <c r="L111" s="136">
        <v>0</v>
      </c>
      <c r="M111" s="136">
        <f>SUM(M107:M110)</f>
        <v>0</v>
      </c>
      <c r="N111" s="136">
        <f>SUM(N109:N110)</f>
        <v>0</v>
      </c>
      <c r="O111" s="136">
        <f>SUM(O109:O110)</f>
        <v>0</v>
      </c>
      <c r="P111" s="136">
        <f>SUM(P107:P110)</f>
        <v>0</v>
      </c>
      <c r="Q111" s="136"/>
      <c r="R111" s="252">
        <f>SUM(C111:P111)</f>
        <v>59000</v>
      </c>
    </row>
    <row r="112" spans="1:18" ht="13.5" customHeight="1" thickTop="1">
      <c r="A112" s="137" t="s">
        <v>356</v>
      </c>
      <c r="B112" s="12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P112" s="125"/>
      <c r="Q112" s="125"/>
      <c r="R112" s="126"/>
    </row>
    <row r="113" spans="1:18" ht="13.5" customHeight="1">
      <c r="A113" s="137" t="s">
        <v>357</v>
      </c>
      <c r="B113" s="121"/>
      <c r="C113" s="120"/>
      <c r="D113" s="120">
        <v>25000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10"/>
      <c r="P113" s="120"/>
      <c r="Q113" s="120"/>
      <c r="R113" s="110">
        <f>SUM(B113:P113)</f>
        <v>25000</v>
      </c>
    </row>
    <row r="114" spans="1:18" ht="13.5" customHeight="1" thickBot="1">
      <c r="A114" s="133" t="s">
        <v>38</v>
      </c>
      <c r="B114" s="136">
        <v>0</v>
      </c>
      <c r="C114" s="136">
        <v>0</v>
      </c>
      <c r="D114" s="252">
        <f>SUM(D113)</f>
        <v>25000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/>
      <c r="R114" s="252">
        <f>SUM(B114:P114)</f>
        <v>25000</v>
      </c>
    </row>
    <row r="115" spans="1:18" ht="13.5" customHeight="1" thickBot="1" thickTop="1">
      <c r="A115" s="134" t="s">
        <v>39</v>
      </c>
      <c r="B115" s="245">
        <f>SUM(B13)</f>
        <v>176084</v>
      </c>
      <c r="C115" s="246">
        <f>SUM(C13+C21+C26+C30+C47+C54+C60+C76+C90+C101+C111)</f>
        <v>2103394.44</v>
      </c>
      <c r="D115" s="246">
        <f>SUM(D13+D21+D26+D30+D47+D54+D60+D76+D90+D101+D106+D111+D114)</f>
        <v>25600</v>
      </c>
      <c r="E115" s="246">
        <f aca="true" t="shared" si="4" ref="E115:Q115">SUM(E13+E21+E26+E30+E47+E54+E60+E76+E90+E101+E106+E111)</f>
        <v>866542.95</v>
      </c>
      <c r="F115" s="246">
        <f t="shared" si="4"/>
        <v>203800</v>
      </c>
      <c r="G115" s="246">
        <f t="shared" si="4"/>
        <v>582476.1799999999</v>
      </c>
      <c r="H115" s="246">
        <f t="shared" si="4"/>
        <v>682964.6499999999</v>
      </c>
      <c r="I115" s="246">
        <f t="shared" si="4"/>
        <v>118000</v>
      </c>
      <c r="J115" s="246">
        <f t="shared" si="4"/>
        <v>28520</v>
      </c>
      <c r="K115" s="246">
        <f t="shared" si="4"/>
        <v>30000</v>
      </c>
      <c r="L115" s="246">
        <f t="shared" si="4"/>
        <v>531387</v>
      </c>
      <c r="M115" s="246">
        <f t="shared" si="4"/>
        <v>150000</v>
      </c>
      <c r="N115" s="246">
        <f t="shared" si="4"/>
        <v>1501</v>
      </c>
      <c r="O115" s="246">
        <f t="shared" si="4"/>
        <v>5995</v>
      </c>
      <c r="P115" s="246">
        <f t="shared" si="4"/>
        <v>30000</v>
      </c>
      <c r="Q115" s="246">
        <f t="shared" si="4"/>
        <v>4451900</v>
      </c>
      <c r="R115" s="245">
        <f>SUM(B115:Q115)</f>
        <v>9988165.219999999</v>
      </c>
    </row>
    <row r="116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G110" sqref="G110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439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7" t="s">
        <v>440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6.5">
      <c r="A4" s="328" t="s">
        <v>531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="168" customFormat="1" ht="14.25">
      <c r="Q5" s="243"/>
    </row>
    <row r="6" spans="1:18" s="107" customFormat="1" ht="14.25">
      <c r="A6" s="108" t="s">
        <v>124</v>
      </c>
      <c r="B6" s="326" t="s">
        <v>100</v>
      </c>
      <c r="C6" s="325" t="s">
        <v>101</v>
      </c>
      <c r="D6" s="325"/>
      <c r="E6" s="325"/>
      <c r="F6" s="130" t="s">
        <v>102</v>
      </c>
      <c r="G6" s="325" t="s">
        <v>103</v>
      </c>
      <c r="H6" s="325"/>
      <c r="I6" s="325" t="s">
        <v>104</v>
      </c>
      <c r="J6" s="325"/>
      <c r="K6" s="130" t="s">
        <v>105</v>
      </c>
      <c r="L6" s="325" t="s">
        <v>106</v>
      </c>
      <c r="M6" s="325"/>
      <c r="N6" s="325" t="s">
        <v>107</v>
      </c>
      <c r="O6" s="325"/>
      <c r="P6" s="329" t="s">
        <v>122</v>
      </c>
      <c r="Q6" s="330"/>
      <c r="R6" s="331" t="s">
        <v>20</v>
      </c>
    </row>
    <row r="7" spans="1:18" s="107" customFormat="1" ht="14.25">
      <c r="A7" s="109" t="s">
        <v>125</v>
      </c>
      <c r="B7" s="326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358</v>
      </c>
      <c r="Q7" s="244" t="s">
        <v>123</v>
      </c>
      <c r="R7" s="332"/>
    </row>
    <row r="8" spans="1:18" ht="14.25">
      <c r="A8" s="131" t="s">
        <v>287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288</v>
      </c>
      <c r="B9" s="110">
        <v>-22635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-22635</v>
      </c>
    </row>
    <row r="10" spans="1:18" ht="14.25">
      <c r="A10" s="133" t="s">
        <v>289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290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291</v>
      </c>
      <c r="B12" s="113">
        <v>-20000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-20000</v>
      </c>
    </row>
    <row r="13" spans="1:18" ht="14.25">
      <c r="A13" s="133" t="s">
        <v>292</v>
      </c>
      <c r="B13" s="129">
        <v>12635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12635</v>
      </c>
    </row>
    <row r="14" spans="1:18" ht="14.25">
      <c r="A14" s="133" t="s">
        <v>38</v>
      </c>
      <c r="B14" s="115">
        <f>SUM(B9:B13)</f>
        <v>-30000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-30000</v>
      </c>
    </row>
    <row r="15" spans="1:18" ht="15" thickBot="1">
      <c r="A15" s="134" t="s">
        <v>39</v>
      </c>
      <c r="B15" s="116">
        <v>-30000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-30000</v>
      </c>
    </row>
    <row r="16" spans="1:18" ht="15" thickTop="1">
      <c r="A16" s="135" t="s">
        <v>293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294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295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296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297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298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299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301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302</v>
      </c>
      <c r="B27" s="119"/>
      <c r="C27" s="119">
        <v>0</v>
      </c>
      <c r="D27" s="119"/>
      <c r="E27" s="119">
        <v>0</v>
      </c>
      <c r="F27" s="119"/>
      <c r="G27" s="119">
        <v>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303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SUM(G26:G28)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f>-35000-30000</f>
        <v>-65000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-135000</v>
      </c>
    </row>
    <row r="31" spans="1:18" ht="15" thickTop="1">
      <c r="A31" s="132" t="s">
        <v>300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304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305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6" t="s">
        <v>100</v>
      </c>
      <c r="C42" s="325" t="s">
        <v>101</v>
      </c>
      <c r="D42" s="325"/>
      <c r="E42" s="325"/>
      <c r="F42" s="130" t="s">
        <v>102</v>
      </c>
      <c r="G42" s="325" t="s">
        <v>103</v>
      </c>
      <c r="H42" s="325"/>
      <c r="I42" s="325" t="s">
        <v>104</v>
      </c>
      <c r="J42" s="325"/>
      <c r="K42" s="130" t="s">
        <v>105</v>
      </c>
      <c r="L42" s="325" t="s">
        <v>106</v>
      </c>
      <c r="M42" s="325"/>
      <c r="N42" s="325" t="s">
        <v>107</v>
      </c>
      <c r="O42" s="325"/>
      <c r="P42" s="329" t="s">
        <v>122</v>
      </c>
      <c r="Q42" s="330"/>
      <c r="R42" s="331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358</v>
      </c>
      <c r="Q43" s="244" t="s">
        <v>123</v>
      </c>
      <c r="R43" s="332"/>
    </row>
    <row r="44" spans="1:18" ht="14.25">
      <c r="A44" s="135" t="s">
        <v>300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307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308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309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310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>
        <v>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311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>
        <v>0</v>
      </c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312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313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314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315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316</v>
      </c>
      <c r="B58" s="125"/>
      <c r="C58" s="125"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317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318</v>
      </c>
      <c r="B60" s="119"/>
      <c r="C60" s="119">
        <v>-10000</v>
      </c>
      <c r="D60" s="119"/>
      <c r="E60" s="119">
        <v>-30000</v>
      </c>
      <c r="F60" s="119"/>
      <c r="G60" s="119">
        <v>10000</v>
      </c>
      <c r="H60" s="119">
        <v>0</v>
      </c>
      <c r="I60" s="119"/>
      <c r="J60" s="119"/>
      <c r="K60" s="119">
        <v>0</v>
      </c>
      <c r="L60" s="119"/>
      <c r="M60" s="119"/>
      <c r="N60" s="119"/>
      <c r="O60" s="113">
        <v>0</v>
      </c>
      <c r="P60" s="119"/>
      <c r="Q60" s="119"/>
      <c r="R60" s="113">
        <f>SUM(C60:P60)</f>
        <v>-30000</v>
      </c>
    </row>
    <row r="61" spans="1:18" ht="14.25">
      <c r="A61" s="137" t="s">
        <v>319</v>
      </c>
      <c r="B61" s="119"/>
      <c r="C61" s="119">
        <v>10000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10000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-30000</v>
      </c>
      <c r="F62" s="103">
        <v>0</v>
      </c>
      <c r="G62" s="103">
        <v>10000</v>
      </c>
      <c r="H62" s="103">
        <f>SUM(H58:H61)</f>
        <v>0</v>
      </c>
      <c r="I62" s="103">
        <v>0</v>
      </c>
      <c r="J62" s="103">
        <v>0</v>
      </c>
      <c r="K62" s="103">
        <f>SUM(K60)</f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-20000</v>
      </c>
    </row>
    <row r="63" spans="1:18" ht="15" thickBot="1">
      <c r="A63" s="134" t="s">
        <v>39</v>
      </c>
      <c r="B63" s="136"/>
      <c r="C63" s="123">
        <f>70000-20000-24000</f>
        <v>26000</v>
      </c>
      <c r="D63" s="136">
        <v>0</v>
      </c>
      <c r="E63" s="136">
        <v>-30000</v>
      </c>
      <c r="F63" s="136">
        <v>0</v>
      </c>
      <c r="G63" s="136">
        <v>10000</v>
      </c>
      <c r="H63" s="136">
        <v>0</v>
      </c>
      <c r="I63" s="136">
        <v>0</v>
      </c>
      <c r="J63" s="136">
        <v>0</v>
      </c>
      <c r="K63" s="136">
        <f>-60000</f>
        <v>-60000</v>
      </c>
      <c r="L63" s="136">
        <v>0</v>
      </c>
      <c r="M63" s="136">
        <v>0</v>
      </c>
      <c r="N63" s="136">
        <v>0</v>
      </c>
      <c r="O63" s="136">
        <f>24000</f>
        <v>24000</v>
      </c>
      <c r="P63" s="136">
        <v>0</v>
      </c>
      <c r="Q63" s="136"/>
      <c r="R63" s="116">
        <f>SUM(C63:P63)</f>
        <v>-30000</v>
      </c>
    </row>
    <row r="64" spans="1:18" ht="15" thickTop="1">
      <c r="A64" s="137" t="s">
        <v>320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321</v>
      </c>
      <c r="B65" s="125"/>
      <c r="C65" s="125"/>
      <c r="D65" s="125"/>
      <c r="E65" s="125">
        <v>20000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20000</v>
      </c>
    </row>
    <row r="66" spans="1:18" ht="14.25">
      <c r="A66" s="133" t="s">
        <v>322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323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324</v>
      </c>
      <c r="B68" s="119"/>
      <c r="C68" s="119"/>
      <c r="D68" s="119"/>
      <c r="E68" s="119"/>
      <c r="F68" s="119"/>
      <c r="G68" s="119">
        <v>0</v>
      </c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SUM(G68:Q68)</f>
        <v>0</v>
      </c>
    </row>
    <row r="69" spans="1:18" ht="14.25">
      <c r="A69" s="137" t="s">
        <v>325</v>
      </c>
      <c r="B69" s="119"/>
      <c r="C69" s="119"/>
      <c r="D69" s="119"/>
      <c r="E69" s="119"/>
      <c r="F69" s="119"/>
      <c r="G69" s="119">
        <v>0</v>
      </c>
      <c r="H69" s="119">
        <v>0</v>
      </c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>SUM(H69)</f>
        <v>0</v>
      </c>
    </row>
    <row r="70" spans="1:18" ht="14.25">
      <c r="A70" s="137" t="s">
        <v>326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327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328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329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330</v>
      </c>
      <c r="B74" s="119"/>
      <c r="C74" s="119">
        <v>10000</v>
      </c>
      <c r="D74" s="119"/>
      <c r="E74" s="119">
        <v>10000</v>
      </c>
      <c r="F74" s="119"/>
      <c r="G74" s="119"/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SUM(B74:Q74)</f>
        <v>20000</v>
      </c>
    </row>
    <row r="75" spans="1:18" ht="14.25">
      <c r="A75" s="137" t="s">
        <v>331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10000</v>
      </c>
      <c r="D77" s="103">
        <v>0</v>
      </c>
      <c r="E77" s="103">
        <f>SUM(E65+E74)</f>
        <v>30000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40000</v>
      </c>
    </row>
    <row r="78" spans="1:18" ht="15" thickBot="1">
      <c r="A78" s="134" t="s">
        <v>39</v>
      </c>
      <c r="B78" s="136"/>
      <c r="C78" s="123">
        <v>39000</v>
      </c>
      <c r="D78" s="136">
        <v>0</v>
      </c>
      <c r="E78" s="136">
        <v>42000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-21000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60000</v>
      </c>
    </row>
    <row r="79" ht="15" thickTop="1"/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32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335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336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337</v>
      </c>
      <c r="B87" s="113"/>
      <c r="C87" s="113">
        <v>10000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10000</v>
      </c>
    </row>
    <row r="88" spans="1:18" ht="13.5" customHeight="1">
      <c r="A88" s="133" t="s">
        <v>338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10000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10000</v>
      </c>
    </row>
    <row r="90" spans="1:18" ht="13.5" customHeight="1" thickBot="1">
      <c r="A90" s="134" t="s">
        <v>39</v>
      </c>
      <c r="B90" s="103"/>
      <c r="C90" s="103">
        <v>10000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10000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>
        <v>0</v>
      </c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SUM(C92)</f>
        <v>0</v>
      </c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495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342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347</v>
      </c>
      <c r="B100" s="120"/>
      <c r="C100" s="120"/>
      <c r="D100" s="120"/>
      <c r="E100" s="120"/>
      <c r="F100" s="120"/>
      <c r="G100" s="120"/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0</v>
      </c>
    </row>
    <row r="101" spans="1:18" ht="13.5" customHeight="1">
      <c r="A101" s="133" t="s">
        <v>38</v>
      </c>
      <c r="B101" s="103"/>
      <c r="C101" s="103">
        <f>C92+C94</f>
        <v>0</v>
      </c>
      <c r="D101" s="103">
        <v>0</v>
      </c>
      <c r="E101" s="103">
        <v>0</v>
      </c>
      <c r="F101" s="103">
        <v>0</v>
      </c>
      <c r="G101" s="103"/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348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350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353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354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355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f>60000</f>
        <v>60000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60000</v>
      </c>
    </row>
    <row r="115" spans="1:18" ht="13.5" customHeight="1" thickTop="1">
      <c r="A115" s="137" t="s">
        <v>356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357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-30000</v>
      </c>
      <c r="C119" s="103">
        <v>20000</v>
      </c>
      <c r="D119" s="195">
        <v>0</v>
      </c>
      <c r="E119" s="195">
        <f>SUM(E29,E47,E55,E62,E77,E89,E101,E107,E113)</f>
        <v>0</v>
      </c>
      <c r="F119" s="195">
        <v>0</v>
      </c>
      <c r="G119" s="195">
        <v>10000</v>
      </c>
      <c r="H119" s="195">
        <f>SUM(H55,H62,H77,H89,H101,H107,H113)</f>
        <v>0</v>
      </c>
      <c r="I119" s="195">
        <f>SUM(I14+I23+I29+I34+I47+I55+I62+I77+I89+I101+I107+I113)</f>
        <v>0</v>
      </c>
      <c r="J119" s="195">
        <v>0</v>
      </c>
      <c r="K119" s="195">
        <v>0</v>
      </c>
      <c r="L119" s="195">
        <f>SUM(L29,L47,L55,L62,L77,L89,L101,L107,L113)</f>
        <v>0</v>
      </c>
      <c r="M119" s="195">
        <v>0</v>
      </c>
      <c r="N119" s="195">
        <v>0</v>
      </c>
      <c r="O119" s="195">
        <f>SUM(O62)</f>
        <v>0</v>
      </c>
      <c r="P119" s="195">
        <v>0</v>
      </c>
      <c r="Q119" s="195"/>
      <c r="R119" s="115">
        <f>I119+K119</f>
        <v>0</v>
      </c>
    </row>
    <row r="120" spans="1:18" ht="13.5" customHeight="1" thickBot="1">
      <c r="A120" s="134" t="s">
        <v>39</v>
      </c>
      <c r="B120" s="116">
        <f>SUM(B15)</f>
        <v>-30000</v>
      </c>
      <c r="C120" s="136">
        <v>40000</v>
      </c>
      <c r="D120" s="136">
        <v>0</v>
      </c>
      <c r="E120" s="136">
        <f>12000</f>
        <v>12000</v>
      </c>
      <c r="F120" s="136">
        <v>0</v>
      </c>
      <c r="G120" s="136">
        <v>-25000</v>
      </c>
      <c r="H120" s="136">
        <f>SUM(H114)</f>
        <v>0</v>
      </c>
      <c r="I120" s="136">
        <f>60000</f>
        <v>60000</v>
      </c>
      <c r="J120" s="136">
        <v>0</v>
      </c>
      <c r="K120" s="136">
        <f>-60000</f>
        <v>-60000</v>
      </c>
      <c r="L120" s="136">
        <f>-21000</f>
        <v>-21000</v>
      </c>
      <c r="M120" s="136">
        <v>0</v>
      </c>
      <c r="N120" s="136">
        <v>0</v>
      </c>
      <c r="O120" s="136">
        <f>24000</f>
        <v>24000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A3:R3"/>
    <mergeCell ref="B81:B82"/>
    <mergeCell ref="C81:E81"/>
    <mergeCell ref="G81:H81"/>
    <mergeCell ref="I81:J81"/>
    <mergeCell ref="L81:M81"/>
    <mergeCell ref="B42:B43"/>
    <mergeCell ref="N81:O81"/>
    <mergeCell ref="I6:J6"/>
    <mergeCell ref="N42:O42"/>
    <mergeCell ref="G6:H6"/>
    <mergeCell ref="R81:R82"/>
    <mergeCell ref="L42:M42"/>
    <mergeCell ref="N6:O6"/>
    <mergeCell ref="P6:Q6"/>
    <mergeCell ref="P81:Q81"/>
    <mergeCell ref="P42:Q42"/>
    <mergeCell ref="R42:R43"/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">
      <selection activeCell="F9" sqref="F9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477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 ht="16.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32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289</v>
      </c>
      <c r="B9" s="113">
        <v>0</v>
      </c>
      <c r="C9" s="113"/>
      <c r="D9" s="113"/>
      <c r="E9" s="113"/>
      <c r="F9" s="113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290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291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292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293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294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295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296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297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298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299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492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301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302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303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304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305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5" t="s">
        <v>101</v>
      </c>
      <c r="D41" s="325"/>
      <c r="E41" s="325"/>
      <c r="F41" s="130" t="s">
        <v>102</v>
      </c>
      <c r="G41" s="325" t="s">
        <v>103</v>
      </c>
      <c r="H41" s="325"/>
      <c r="I41" s="325" t="s">
        <v>104</v>
      </c>
      <c r="J41" s="325"/>
      <c r="K41" s="130" t="s">
        <v>105</v>
      </c>
      <c r="L41" s="325" t="s">
        <v>106</v>
      </c>
      <c r="M41" s="325"/>
      <c r="N41" s="325" t="s">
        <v>107</v>
      </c>
      <c r="O41" s="325"/>
      <c r="P41" s="329" t="s">
        <v>122</v>
      </c>
      <c r="Q41" s="330"/>
      <c r="R41" s="331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358</v>
      </c>
      <c r="Q42" s="244" t="s">
        <v>123</v>
      </c>
      <c r="R42" s="332"/>
    </row>
    <row r="43" spans="1:18" ht="14.25">
      <c r="A43" s="135" t="s">
        <v>300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307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308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311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312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313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314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316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317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318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319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321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323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327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328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329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330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332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79" spans="14:17" ht="14.25">
      <c r="N79" s="124" t="s">
        <v>504</v>
      </c>
      <c r="Q79" s="104" t="s">
        <v>503</v>
      </c>
    </row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32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335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336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337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338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342</v>
      </c>
      <c r="B94" s="119"/>
      <c r="C94" s="119"/>
      <c r="D94" s="119"/>
      <c r="E94" s="119"/>
      <c r="F94" s="119" t="s">
        <v>490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343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344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346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347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348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349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0</v>
      </c>
      <c r="R105" s="113">
        <f>SUM(Q105)</f>
        <v>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0</v>
      </c>
      <c r="R106" s="103">
        <f>SUM(C106:Q106)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840000+383000+318700+122000+696184+543000+1331848</f>
        <v>4234732</v>
      </c>
      <c r="R107" s="116">
        <f>840000+383000+318700+122000+696184+543000+1331848</f>
        <v>4234732</v>
      </c>
    </row>
    <row r="108" spans="1:18" ht="13.5" customHeight="1" thickTop="1">
      <c r="A108" s="137" t="s">
        <v>352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353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354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356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357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5">
        <v>0</v>
      </c>
      <c r="E118" s="195">
        <f>SUM(E28,E46,E54,E61,E76,E89,E100,E106,E112)</f>
        <v>0</v>
      </c>
      <c r="F118" s="195">
        <v>0</v>
      </c>
      <c r="G118" s="195">
        <f>SUM(G28,G46,G54,G61,G76,G89,G100,G106,G112)</f>
        <v>0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0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0</v>
      </c>
      <c r="R118" s="115">
        <f>SUM(B118:Q118)</f>
        <v>0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840000+383000+318700+122000+696184+543000+1331848</f>
        <v>4234732</v>
      </c>
      <c r="R119" s="116">
        <f>SUM(B119:Q119)</f>
        <v>4234732</v>
      </c>
    </row>
    <row r="120" ht="15" thickTop="1"/>
  </sheetData>
  <sheetProtection/>
  <mergeCells count="28">
    <mergeCell ref="B81:B82"/>
    <mergeCell ref="C81:E81"/>
    <mergeCell ref="G81:H81"/>
    <mergeCell ref="I81:J81"/>
    <mergeCell ref="L81:M81"/>
    <mergeCell ref="N81:O81"/>
    <mergeCell ref="L41:M41"/>
    <mergeCell ref="N41:O41"/>
    <mergeCell ref="P41:Q41"/>
    <mergeCell ref="R41:R42"/>
    <mergeCell ref="P81:Q81"/>
    <mergeCell ref="R81:R82"/>
    <mergeCell ref="B41:B42"/>
    <mergeCell ref="C41:E41"/>
    <mergeCell ref="G41:H41"/>
    <mergeCell ref="I41:J41"/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1" t="s">
        <v>509</v>
      </c>
      <c r="B1" s="281"/>
      <c r="C1" s="281"/>
      <c r="D1" s="281"/>
      <c r="E1" s="281"/>
    </row>
    <row r="2" spans="1:5" ht="21">
      <c r="A2" s="281" t="s">
        <v>272</v>
      </c>
      <c r="B2" s="281"/>
      <c r="C2" s="281"/>
      <c r="D2" s="281"/>
      <c r="E2" s="281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447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469</v>
      </c>
      <c r="D5" s="224" t="s">
        <v>470</v>
      </c>
      <c r="E5" s="226">
        <v>50000</v>
      </c>
    </row>
    <row r="6" spans="1:5" ht="21">
      <c r="A6" s="224">
        <v>3</v>
      </c>
      <c r="B6" s="254">
        <v>239855</v>
      </c>
      <c r="C6" s="225" t="s">
        <v>284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423</v>
      </c>
      <c r="D7" s="224" t="s">
        <v>233</v>
      </c>
      <c r="E7" s="226">
        <v>40000</v>
      </c>
    </row>
    <row r="8" spans="1:5" ht="21">
      <c r="A8" s="224">
        <v>5</v>
      </c>
      <c r="B8" s="254">
        <v>240127</v>
      </c>
      <c r="C8" s="225" t="s">
        <v>497</v>
      </c>
      <c r="D8" s="224" t="s">
        <v>234</v>
      </c>
      <c r="E8" s="226">
        <v>16000</v>
      </c>
    </row>
    <row r="9" spans="1:5" ht="21">
      <c r="A9" s="224">
        <v>6</v>
      </c>
      <c r="B9" s="254">
        <v>239870</v>
      </c>
      <c r="C9" s="225" t="s">
        <v>467</v>
      </c>
      <c r="D9" s="224" t="s">
        <v>235</v>
      </c>
      <c r="E9" s="226">
        <v>24000</v>
      </c>
    </row>
    <row r="10" spans="1:5" ht="21">
      <c r="A10" s="224">
        <v>7</v>
      </c>
      <c r="B10" s="254">
        <v>20815</v>
      </c>
      <c r="C10" s="225" t="s">
        <v>448</v>
      </c>
      <c r="D10" s="224" t="s">
        <v>236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285</v>
      </c>
      <c r="D11" s="224" t="s">
        <v>237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286</v>
      </c>
      <c r="D12" s="224" t="s">
        <v>238</v>
      </c>
      <c r="E12" s="226">
        <v>30000</v>
      </c>
    </row>
    <row r="13" spans="1:5" ht="21">
      <c r="A13" s="224">
        <v>10</v>
      </c>
      <c r="B13" s="254">
        <v>240133</v>
      </c>
      <c r="C13" s="225" t="s">
        <v>498</v>
      </c>
      <c r="D13" s="224" t="s">
        <v>239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424</v>
      </c>
      <c r="D14" s="224" t="s">
        <v>240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479</v>
      </c>
      <c r="D15" s="224" t="s">
        <v>242</v>
      </c>
      <c r="E15" s="226">
        <v>40000</v>
      </c>
    </row>
    <row r="16" spans="1:5" ht="21">
      <c r="A16" s="224">
        <v>13</v>
      </c>
      <c r="B16" s="254">
        <v>239694</v>
      </c>
      <c r="C16" s="225" t="s">
        <v>243</v>
      </c>
      <c r="D16" s="224" t="s">
        <v>244</v>
      </c>
      <c r="E16" s="226">
        <v>20000</v>
      </c>
    </row>
    <row r="17" spans="1:5" ht="21">
      <c r="A17" s="224">
        <v>14</v>
      </c>
      <c r="B17" s="254">
        <v>240147</v>
      </c>
      <c r="C17" s="225" t="s">
        <v>499</v>
      </c>
      <c r="D17" s="224" t="s">
        <v>246</v>
      </c>
      <c r="E17" s="226">
        <v>39000</v>
      </c>
    </row>
    <row r="18" spans="1:5" ht="21">
      <c r="A18" s="224">
        <v>15</v>
      </c>
      <c r="B18" s="254">
        <v>20766</v>
      </c>
      <c r="C18" s="225" t="s">
        <v>421</v>
      </c>
      <c r="D18" s="224" t="s">
        <v>422</v>
      </c>
      <c r="E18" s="226">
        <v>100000</v>
      </c>
    </row>
    <row r="19" spans="1:5" ht="21">
      <c r="A19" s="224">
        <v>16</v>
      </c>
      <c r="B19" s="254">
        <v>20816</v>
      </c>
      <c r="C19" s="225" t="s">
        <v>449</v>
      </c>
      <c r="D19" s="224" t="s">
        <v>248</v>
      </c>
      <c r="E19" s="226">
        <v>13000</v>
      </c>
    </row>
    <row r="20" spans="1:5" ht="21">
      <c r="A20" s="224">
        <v>17</v>
      </c>
      <c r="B20" s="254">
        <v>239819</v>
      </c>
      <c r="C20" s="225" t="s">
        <v>275</v>
      </c>
      <c r="D20" s="224" t="s">
        <v>276</v>
      </c>
      <c r="E20" s="226">
        <v>47000</v>
      </c>
    </row>
    <row r="21" spans="1:5" ht="21">
      <c r="A21" s="224">
        <v>18</v>
      </c>
      <c r="B21" s="254">
        <v>239827</v>
      </c>
      <c r="C21" s="225" t="s">
        <v>277</v>
      </c>
      <c r="D21" s="224" t="s">
        <v>278</v>
      </c>
      <c r="E21" s="226">
        <v>40000</v>
      </c>
    </row>
    <row r="22" spans="1:5" ht="21">
      <c r="A22" s="224">
        <v>19</v>
      </c>
      <c r="B22" s="254">
        <v>237770</v>
      </c>
      <c r="C22" s="225" t="s">
        <v>249</v>
      </c>
      <c r="D22" s="224" t="s">
        <v>250</v>
      </c>
      <c r="E22" s="226">
        <v>13780</v>
      </c>
    </row>
    <row r="23" spans="1:5" ht="21">
      <c r="A23" s="224">
        <v>20</v>
      </c>
      <c r="B23" s="254">
        <v>237770</v>
      </c>
      <c r="C23" s="225" t="s">
        <v>183</v>
      </c>
      <c r="D23" s="224" t="s">
        <v>251</v>
      </c>
      <c r="E23" s="226">
        <v>8780</v>
      </c>
    </row>
    <row r="24" spans="1:5" ht="21">
      <c r="A24" s="224">
        <v>21</v>
      </c>
      <c r="B24" s="254">
        <v>20830</v>
      </c>
      <c r="C24" s="225" t="s">
        <v>468</v>
      </c>
      <c r="D24" s="224" t="s">
        <v>252</v>
      </c>
      <c r="E24" s="226">
        <v>60000</v>
      </c>
    </row>
    <row r="25" spans="1:5" ht="21">
      <c r="A25" s="224">
        <v>22</v>
      </c>
      <c r="B25" s="254">
        <v>20753</v>
      </c>
      <c r="C25" s="225" t="s">
        <v>363</v>
      </c>
      <c r="D25" s="224" t="s">
        <v>364</v>
      </c>
      <c r="E25" s="226">
        <v>24000</v>
      </c>
    </row>
    <row r="26" spans="1:5" ht="21">
      <c r="A26" s="224">
        <v>23</v>
      </c>
      <c r="B26" s="254">
        <v>20753</v>
      </c>
      <c r="C26" s="225" t="s">
        <v>365</v>
      </c>
      <c r="D26" s="224" t="s">
        <v>366</v>
      </c>
      <c r="E26" s="226">
        <v>26000</v>
      </c>
    </row>
    <row r="27" spans="1:5" ht="21">
      <c r="A27" s="224">
        <v>24</v>
      </c>
      <c r="B27" s="254">
        <v>20766</v>
      </c>
      <c r="C27" s="225" t="s">
        <v>419</v>
      </c>
      <c r="D27" s="224" t="s">
        <v>420</v>
      </c>
      <c r="E27" s="226">
        <v>15000</v>
      </c>
    </row>
    <row r="28" spans="1:5" ht="21">
      <c r="A28" s="224">
        <v>25</v>
      </c>
      <c r="B28" s="254">
        <v>20835</v>
      </c>
      <c r="C28" s="225" t="s">
        <v>471</v>
      </c>
      <c r="D28" s="224" t="s">
        <v>247</v>
      </c>
      <c r="E28" s="226">
        <v>70000</v>
      </c>
    </row>
    <row r="29" spans="1:5" ht="21">
      <c r="A29" s="224">
        <v>26</v>
      </c>
      <c r="B29" s="254">
        <v>239828</v>
      </c>
      <c r="C29" s="225" t="s">
        <v>279</v>
      </c>
      <c r="D29" s="224" t="s">
        <v>280</v>
      </c>
      <c r="E29" s="226">
        <v>30000</v>
      </c>
    </row>
    <row r="30" spans="1:5" ht="21">
      <c r="A30" s="280" t="s">
        <v>20</v>
      </c>
      <c r="B30" s="280"/>
      <c r="C30" s="280"/>
      <c r="D30" s="280"/>
      <c r="E30" s="227">
        <f>SUM(E4:E29)</f>
        <v>1046560</v>
      </c>
    </row>
    <row r="32" spans="1:6" ht="21">
      <c r="A32" s="282" t="s">
        <v>281</v>
      </c>
      <c r="B32" s="282"/>
      <c r="C32" s="282"/>
      <c r="D32" s="282"/>
      <c r="E32" s="282"/>
      <c r="F32" s="230"/>
    </row>
    <row r="33" spans="1:6" ht="21">
      <c r="A33" s="279" t="s">
        <v>229</v>
      </c>
      <c r="B33" s="279"/>
      <c r="C33" s="279"/>
      <c r="D33" s="279"/>
      <c r="E33" s="279"/>
      <c r="F33" s="279"/>
    </row>
    <row r="34" spans="1:6" ht="21">
      <c r="A34" s="279" t="s">
        <v>230</v>
      </c>
      <c r="B34" s="279"/>
      <c r="C34" s="279"/>
      <c r="D34" s="279"/>
      <c r="E34" s="279"/>
      <c r="F34" s="279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3" t="s">
        <v>506</v>
      </c>
      <c r="B1" s="283"/>
      <c r="C1" s="283"/>
      <c r="D1" s="283"/>
      <c r="E1" s="70"/>
    </row>
    <row r="2" spans="1:5" ht="23.25">
      <c r="A2" s="283" t="s">
        <v>413</v>
      </c>
      <c r="B2" s="283"/>
      <c r="C2" s="283"/>
      <c r="D2" s="283"/>
      <c r="E2" s="70"/>
    </row>
    <row r="3" spans="1:4" ht="23.25">
      <c r="A3" s="283" t="s">
        <v>253</v>
      </c>
      <c r="B3" s="283"/>
      <c r="C3" s="283"/>
      <c r="D3" s="283"/>
    </row>
    <row r="5" spans="1:4" ht="23.25">
      <c r="A5" s="172" t="s">
        <v>144</v>
      </c>
      <c r="B5" s="172" t="s">
        <v>25</v>
      </c>
      <c r="C5" s="172" t="s">
        <v>72</v>
      </c>
      <c r="D5" s="172" t="s">
        <v>254</v>
      </c>
    </row>
    <row r="6" spans="1:4" ht="23.25">
      <c r="A6" s="184">
        <v>1</v>
      </c>
      <c r="B6" s="185" t="s">
        <v>255</v>
      </c>
      <c r="C6" s="186">
        <v>100000</v>
      </c>
      <c r="D6" s="185"/>
    </row>
    <row r="7" spans="1:4" ht="23.25">
      <c r="A7" s="187">
        <v>2</v>
      </c>
      <c r="B7" s="188" t="s">
        <v>256</v>
      </c>
      <c r="C7" s="189">
        <v>100000</v>
      </c>
      <c r="D7" s="188"/>
    </row>
    <row r="8" spans="1:4" ht="23.25">
      <c r="A8" s="187">
        <v>3</v>
      </c>
      <c r="B8" s="188" t="s">
        <v>257</v>
      </c>
      <c r="C8" s="189">
        <v>100000</v>
      </c>
      <c r="D8" s="188"/>
    </row>
    <row r="9" spans="1:4" ht="23.25">
      <c r="A9" s="187">
        <v>4</v>
      </c>
      <c r="B9" s="188" t="s">
        <v>258</v>
      </c>
      <c r="C9" s="189">
        <v>100000</v>
      </c>
      <c r="D9" s="188"/>
    </row>
    <row r="10" spans="1:4" ht="23.25">
      <c r="A10" s="187">
        <v>5</v>
      </c>
      <c r="B10" s="188" t="s">
        <v>259</v>
      </c>
      <c r="C10" s="189">
        <v>100000</v>
      </c>
      <c r="D10" s="188"/>
    </row>
    <row r="11" spans="1:4" ht="23.25">
      <c r="A11" s="187">
        <v>6</v>
      </c>
      <c r="B11" s="188" t="s">
        <v>260</v>
      </c>
      <c r="C11" s="189">
        <v>100000</v>
      </c>
      <c r="D11" s="188"/>
    </row>
    <row r="12" spans="1:4" ht="23.25">
      <c r="A12" s="187">
        <v>7</v>
      </c>
      <c r="B12" s="188" t="s">
        <v>261</v>
      </c>
      <c r="C12" s="189">
        <v>100000</v>
      </c>
      <c r="D12" s="188"/>
    </row>
    <row r="13" spans="1:4" ht="23.25">
      <c r="A13" s="187">
        <v>8</v>
      </c>
      <c r="B13" s="188" t="s">
        <v>262</v>
      </c>
      <c r="C13" s="189">
        <v>100000</v>
      </c>
      <c r="D13" s="188"/>
    </row>
    <row r="14" spans="1:4" ht="23.25">
      <c r="A14" s="187">
        <v>9</v>
      </c>
      <c r="B14" s="188" t="s">
        <v>263</v>
      </c>
      <c r="C14" s="189">
        <v>100000</v>
      </c>
      <c r="D14" s="188"/>
    </row>
    <row r="15" spans="1:4" ht="23.25">
      <c r="A15" s="187">
        <v>10</v>
      </c>
      <c r="B15" s="188" t="s">
        <v>264</v>
      </c>
      <c r="C15" s="189">
        <v>100000</v>
      </c>
      <c r="D15" s="188"/>
    </row>
    <row r="16" spans="1:4" ht="23.25">
      <c r="A16" s="190">
        <v>11</v>
      </c>
      <c r="B16" s="191" t="s">
        <v>265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266</v>
      </c>
      <c r="D20" s="171" t="s">
        <v>267</v>
      </c>
    </row>
    <row r="21" spans="1:3" ht="23.25">
      <c r="A21" s="171" t="s">
        <v>268</v>
      </c>
      <c r="C21" s="171" t="s">
        <v>271</v>
      </c>
    </row>
    <row r="22" spans="1:3" ht="23.25">
      <c r="A22" s="171" t="s">
        <v>269</v>
      </c>
      <c r="C22" s="171" t="s">
        <v>270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52">
      <selection activeCell="D5" sqref="D5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3" t="s">
        <v>506</v>
      </c>
      <c r="B1" s="283"/>
      <c r="C1" s="283"/>
      <c r="D1" s="283"/>
      <c r="E1" s="283"/>
      <c r="F1" s="283"/>
    </row>
    <row r="2" spans="1:6" ht="23.25">
      <c r="A2" s="283" t="s">
        <v>413</v>
      </c>
      <c r="B2" s="283"/>
      <c r="C2" s="283"/>
      <c r="D2" s="283"/>
      <c r="E2" s="283"/>
      <c r="F2" s="283"/>
    </row>
    <row r="3" spans="1:6" ht="23.25">
      <c r="A3" s="288" t="s">
        <v>273</v>
      </c>
      <c r="B3" s="288"/>
      <c r="C3" s="288"/>
      <c r="D3" s="288"/>
      <c r="E3" s="288"/>
      <c r="F3" s="288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f>1125+430</f>
        <v>1555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f>1858+430</f>
        <v>2288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361</v>
      </c>
      <c r="D51" s="175" t="s">
        <v>362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480</v>
      </c>
      <c r="D52" s="175" t="s">
        <v>481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241</v>
      </c>
      <c r="D53" s="175" t="s">
        <v>482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245</v>
      </c>
      <c r="D54" s="175" t="s">
        <v>500</v>
      </c>
      <c r="E54" s="178">
        <v>39000</v>
      </c>
      <c r="F54" s="178">
        <v>488</v>
      </c>
    </row>
    <row r="55" spans="1:6" ht="24" thickBot="1">
      <c r="A55" s="285" t="s">
        <v>20</v>
      </c>
      <c r="B55" s="286"/>
      <c r="C55" s="286"/>
      <c r="D55" s="287"/>
      <c r="E55" s="182">
        <f>SUM(E5:E54)</f>
        <v>1392100</v>
      </c>
      <c r="F55" s="182">
        <f>SUM(F5:F54)</f>
        <v>23947</v>
      </c>
    </row>
    <row r="56" spans="1:6" ht="24" thickTop="1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183"/>
      <c r="B58" s="183"/>
      <c r="C58" s="183"/>
      <c r="D58" s="183"/>
      <c r="E58" s="183"/>
      <c r="F58" s="183"/>
    </row>
    <row r="59" spans="1:6" ht="23.25">
      <c r="A59" s="284" t="s">
        <v>483</v>
      </c>
      <c r="B59" s="284"/>
      <c r="C59" s="284"/>
      <c r="D59" s="284"/>
      <c r="E59" s="284"/>
      <c r="F59" s="284"/>
    </row>
    <row r="60" spans="1:6" ht="23.25">
      <c r="A60" s="284" t="s">
        <v>229</v>
      </c>
      <c r="B60" s="284"/>
      <c r="C60" s="284"/>
      <c r="D60" s="284"/>
      <c r="E60" s="284"/>
      <c r="F60" s="284"/>
    </row>
    <row r="61" spans="1:6" ht="23.25">
      <c r="A61" s="284" t="s">
        <v>230</v>
      </c>
      <c r="B61" s="284"/>
      <c r="C61" s="284"/>
      <c r="D61" s="284"/>
      <c r="E61" s="284"/>
      <c r="F61" s="284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  <row r="66" spans="1:6" ht="23.25">
      <c r="A66" s="183"/>
      <c r="B66" s="183"/>
      <c r="C66" s="183"/>
      <c r="D66" s="183"/>
      <c r="E66" s="183"/>
      <c r="F66" s="183"/>
    </row>
  </sheetData>
  <sheetProtection/>
  <mergeCells count="7">
    <mergeCell ref="A1:F1"/>
    <mergeCell ref="A2:F2"/>
    <mergeCell ref="A60:F60"/>
    <mergeCell ref="A61:F61"/>
    <mergeCell ref="A55:D55"/>
    <mergeCell ref="A59:F59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3">
      <selection activeCell="C8" sqref="C8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1" t="s">
        <v>506</v>
      </c>
      <c r="B1" s="281"/>
      <c r="C1" s="281"/>
      <c r="D1" s="70"/>
      <c r="E1" s="70"/>
    </row>
    <row r="2" spans="1:5" ht="21" customHeight="1">
      <c r="A2" s="281" t="s">
        <v>413</v>
      </c>
      <c r="B2" s="281"/>
      <c r="C2" s="281"/>
      <c r="D2" s="70"/>
      <c r="E2" s="70"/>
    </row>
    <row r="3" spans="1:3" ht="21" customHeight="1">
      <c r="A3" s="281" t="s">
        <v>274</v>
      </c>
      <c r="B3" s="281"/>
      <c r="C3" s="281"/>
    </row>
    <row r="4" spans="1:3" ht="21" customHeight="1">
      <c r="A4" s="221" t="s">
        <v>144</v>
      </c>
      <c r="B4" s="221" t="s">
        <v>145</v>
      </c>
      <c r="C4" s="223" t="s">
        <v>283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9" t="s">
        <v>20</v>
      </c>
      <c r="B29" s="290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2" t="s">
        <v>486</v>
      </c>
      <c r="B31" s="282"/>
      <c r="C31" s="282"/>
    </row>
    <row r="32" spans="1:3" ht="21" customHeight="1">
      <c r="A32" s="291" t="s">
        <v>487</v>
      </c>
      <c r="B32" s="291"/>
      <c r="C32" s="291"/>
    </row>
    <row r="33" spans="1:3" ht="21" customHeight="1">
      <c r="A33" s="279" t="s">
        <v>488</v>
      </c>
      <c r="B33" s="279"/>
      <c r="C33" s="279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1"/>
  <sheetViews>
    <sheetView view="pageBreakPreview" zoomScaleSheetLayoutView="100" zoomScalePageLayoutView="0" workbookViewId="0" topLeftCell="A70">
      <selection activeCell="C48" sqref="C48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6" t="s">
        <v>390</v>
      </c>
      <c r="D1" s="296"/>
      <c r="E1" s="296"/>
    </row>
    <row r="2" spans="1:5" ht="19.5" customHeight="1">
      <c r="A2" s="292" t="s">
        <v>21</v>
      </c>
      <c r="B2" s="292"/>
      <c r="C2" s="292"/>
      <c r="D2" s="292"/>
      <c r="E2" s="292"/>
    </row>
    <row r="3" spans="1:5" ht="19.5" customHeight="1">
      <c r="A3" s="292" t="s">
        <v>510</v>
      </c>
      <c r="B3" s="292"/>
      <c r="C3" s="292"/>
      <c r="D3" s="292"/>
      <c r="E3" s="292"/>
    </row>
    <row r="4" spans="1:5" ht="19.5" customHeight="1">
      <c r="A4" s="297" t="s">
        <v>22</v>
      </c>
      <c r="B4" s="298"/>
      <c r="C4" s="299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300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1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34824247.95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380054.44+2733.62+2560.3+4028.44</f>
        <v>389376.8</v>
      </c>
      <c r="C9" s="6" t="s">
        <v>41</v>
      </c>
      <c r="D9" s="10" t="s">
        <v>375</v>
      </c>
      <c r="E9" s="11">
        <v>4028.44</v>
      </c>
    </row>
    <row r="10" spans="1:5" ht="19.5" customHeight="1">
      <c r="A10" s="34">
        <v>82000</v>
      </c>
      <c r="B10" s="34">
        <f>97795.4+41500+29208+2424.8</f>
        <v>170928.19999999998</v>
      </c>
      <c r="C10" s="6" t="s">
        <v>44</v>
      </c>
      <c r="D10" s="10" t="s">
        <v>376</v>
      </c>
      <c r="E10" s="11">
        <v>2424.8</v>
      </c>
    </row>
    <row r="11" spans="1:5" ht="19.5" customHeight="1">
      <c r="A11" s="34">
        <v>250000</v>
      </c>
      <c r="B11" s="34">
        <f>180366.4+6929.48+59059.73+8079.87</f>
        <v>254435.48</v>
      </c>
      <c r="C11" s="6" t="s">
        <v>45</v>
      </c>
      <c r="D11" s="10" t="s">
        <v>377</v>
      </c>
      <c r="E11" s="35">
        <v>8079.87</v>
      </c>
    </row>
    <row r="12" spans="1:5" ht="19.5" customHeight="1">
      <c r="A12" s="34">
        <v>33500</v>
      </c>
      <c r="B12" s="34">
        <f>69900+400+31700</f>
        <v>102000</v>
      </c>
      <c r="C12" s="6" t="s">
        <v>47</v>
      </c>
      <c r="D12" s="10" t="s">
        <v>378</v>
      </c>
      <c r="E12" s="35">
        <v>31700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379</v>
      </c>
      <c r="E13" s="35">
        <v>0</v>
      </c>
    </row>
    <row r="14" spans="1:5" ht="19.5" customHeight="1">
      <c r="A14" s="34">
        <v>13570000</v>
      </c>
      <c r="B14" s="34">
        <f>7551078.65+629994.87+1144552.38+2490115.55</f>
        <v>11815741.45</v>
      </c>
      <c r="C14" s="6" t="s">
        <v>49</v>
      </c>
      <c r="D14" s="10" t="s">
        <v>380</v>
      </c>
      <c r="E14" s="35">
        <v>2490115.55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381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21032469.93</v>
      </c>
      <c r="C16" s="81" t="s">
        <v>20</v>
      </c>
      <c r="D16" s="85"/>
      <c r="E16" s="86">
        <f>SUM(E9:E15)</f>
        <v>2536348.6599999997</v>
      </c>
    </row>
    <row r="17" spans="1:5" ht="19.5" customHeight="1">
      <c r="A17" s="87"/>
      <c r="B17" s="34">
        <f>1000+33200+19000+799250+899140+538500+701900+626000+617900+622200</f>
        <v>4858090</v>
      </c>
      <c r="C17" s="6" t="s">
        <v>37</v>
      </c>
      <c r="D17" s="10" t="s">
        <v>382</v>
      </c>
      <c r="E17" s="11">
        <v>622200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386</v>
      </c>
      <c r="E18" s="11">
        <v>0</v>
      </c>
    </row>
    <row r="19" spans="1:5" ht="19.5" customHeight="1">
      <c r="A19" s="87"/>
      <c r="B19" s="34">
        <f>126000+140000+189000+130000+40000+85000</f>
        <v>710000</v>
      </c>
      <c r="C19" s="6" t="s">
        <v>372</v>
      </c>
      <c r="D19" s="10" t="s">
        <v>383</v>
      </c>
      <c r="E19" s="11">
        <v>0</v>
      </c>
    </row>
    <row r="20" spans="1:5" ht="19.5" customHeight="1">
      <c r="A20" s="87"/>
      <c r="B20" s="34">
        <f>6750+1500</f>
        <v>8250</v>
      </c>
      <c r="C20" s="6" t="s">
        <v>435</v>
      </c>
      <c r="D20" s="10" t="s">
        <v>408</v>
      </c>
      <c r="E20" s="11">
        <v>0</v>
      </c>
    </row>
    <row r="21" spans="1:5" ht="19.5" customHeight="1">
      <c r="A21" s="87"/>
      <c r="B21" s="34">
        <f>919.37+262.55+69.42+114.81+72.09</f>
        <v>1438.24</v>
      </c>
      <c r="C21" s="6" t="s">
        <v>371</v>
      </c>
      <c r="D21" s="10" t="s">
        <v>409</v>
      </c>
      <c r="E21" s="11">
        <v>72.09</v>
      </c>
    </row>
    <row r="22" spans="1:5" ht="19.5" customHeight="1">
      <c r="A22" s="87"/>
      <c r="B22" s="34">
        <f>3360600+3360600</f>
        <v>6721200</v>
      </c>
      <c r="C22" s="6" t="s">
        <v>444</v>
      </c>
      <c r="D22" s="10" t="s">
        <v>446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454</v>
      </c>
      <c r="D23" s="10" t="s">
        <v>446</v>
      </c>
      <c r="E23" s="11">
        <v>0</v>
      </c>
    </row>
    <row r="24" spans="1:5" ht="19.5" customHeight="1">
      <c r="A24" s="87"/>
      <c r="B24" s="34"/>
      <c r="C24" s="6" t="s">
        <v>455</v>
      </c>
      <c r="D24" s="10"/>
      <c r="E24" s="11"/>
    </row>
    <row r="25" spans="1:5" ht="19.5" customHeight="1">
      <c r="A25" s="87"/>
      <c r="B25" s="34">
        <f>75060+93960+540</f>
        <v>169560</v>
      </c>
      <c r="C25" s="6" t="s">
        <v>474</v>
      </c>
      <c r="D25" s="10" t="s">
        <v>475</v>
      </c>
      <c r="E25" s="11">
        <v>540</v>
      </c>
    </row>
    <row r="26" spans="1:5" ht="19.5" customHeight="1">
      <c r="A26" s="11"/>
      <c r="B26" s="34">
        <f>16046.56+10836.82+70048.95+67903.17+13258.06+81834.6+26431.06+23635.49+72683.87</f>
        <v>382678.58</v>
      </c>
      <c r="C26" s="6" t="s">
        <v>138</v>
      </c>
      <c r="D26" s="10" t="s">
        <v>384</v>
      </c>
      <c r="E26" s="11">
        <v>72683.87</v>
      </c>
    </row>
    <row r="27" spans="1:5" ht="19.5" customHeight="1">
      <c r="A27" s="38"/>
      <c r="B27" s="36">
        <f>SUM(B17:B26)</f>
        <v>16033676.82</v>
      </c>
      <c r="C27" s="6"/>
      <c r="D27" s="10"/>
      <c r="E27" s="37">
        <f>SUM(E17:E26)</f>
        <v>695495.96</v>
      </c>
    </row>
    <row r="28" spans="1:5" ht="19.5" customHeight="1">
      <c r="A28" s="11"/>
      <c r="B28" s="36">
        <f>SUM(B27,B16)</f>
        <v>37066146.75</v>
      </c>
      <c r="C28" s="8" t="s">
        <v>31</v>
      </c>
      <c r="D28" s="10"/>
      <c r="E28" s="37">
        <f>SUM(E27,E16)</f>
        <v>3231844.6199999996</v>
      </c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673730-30000</f>
        <v>643730</v>
      </c>
      <c r="B45" s="44">
        <f>155395+94960+129628+6888+6888+37338+10538+6838+19173</f>
        <v>467646</v>
      </c>
      <c r="C45" s="6" t="s">
        <v>32</v>
      </c>
      <c r="D45" s="10" t="s">
        <v>287</v>
      </c>
      <c r="E45" s="44">
        <v>19173</v>
      </c>
    </row>
    <row r="46" spans="1:5" ht="16.5" customHeight="1">
      <c r="A46" s="11">
        <v>3013300</v>
      </c>
      <c r="B46" s="44">
        <f>243060+243060+243060+243060+243060+243060+243060+243060+243060+243060</f>
        <v>2430600</v>
      </c>
      <c r="C46" s="6" t="s">
        <v>367</v>
      </c>
      <c r="D46" s="10" t="s">
        <v>293</v>
      </c>
      <c r="E46" s="44">
        <v>243060</v>
      </c>
    </row>
    <row r="47" spans="1:5" ht="16.5" customHeight="1">
      <c r="A47" s="35">
        <f>3706500-30000</f>
        <v>3676500</v>
      </c>
      <c r="B47" s="44">
        <f>254365+254765+256875+408359+263760+276650+284125+284125+284125+284125</f>
        <v>2851274</v>
      </c>
      <c r="C47" s="6" t="s">
        <v>368</v>
      </c>
      <c r="D47" s="10" t="s">
        <v>300</v>
      </c>
      <c r="E47" s="44">
        <v>284125</v>
      </c>
    </row>
    <row r="48" spans="1:5" ht="16.5" customHeight="1">
      <c r="A48" s="91">
        <v>150000</v>
      </c>
      <c r="B48" s="44">
        <f>11780+11780+11780+11780+11780+11780+12040+12040+12040+12040</f>
        <v>118840</v>
      </c>
      <c r="C48" s="6" t="s">
        <v>369</v>
      </c>
      <c r="D48" s="10" t="s">
        <v>300</v>
      </c>
      <c r="E48" s="44">
        <v>12040</v>
      </c>
    </row>
    <row r="49" spans="1:5" ht="16.5" customHeight="1">
      <c r="A49" s="11">
        <v>1204000</v>
      </c>
      <c r="B49" s="44">
        <f>96760+96760+87760+87760+87760+87760+96760+96760+96760+90760</f>
        <v>925600</v>
      </c>
      <c r="C49" s="6" t="s">
        <v>370</v>
      </c>
      <c r="D49" s="10" t="s">
        <v>300</v>
      </c>
      <c r="E49" s="44">
        <v>90760</v>
      </c>
    </row>
    <row r="50" spans="1:5" ht="16.5" customHeight="1">
      <c r="A50" s="11">
        <v>1493000</v>
      </c>
      <c r="B50" s="44">
        <f>16590+58549+13750+31100+16500+26150+20900+28100+31602+21650</f>
        <v>264891</v>
      </c>
      <c r="C50" s="6" t="s">
        <v>6</v>
      </c>
      <c r="D50" s="10" t="s">
        <v>309</v>
      </c>
      <c r="E50" s="44">
        <v>21650</v>
      </c>
    </row>
    <row r="51" spans="1:5" ht="16.5" customHeight="1">
      <c r="A51" s="11">
        <f>2700000-20000-60000-20000</f>
        <v>2600000</v>
      </c>
      <c r="B51" s="44">
        <f>16870+100855+79767.24+465658+464462+43555+222145+27190+32220+34380</f>
        <v>1487102.24</v>
      </c>
      <c r="C51" s="6" t="s">
        <v>7</v>
      </c>
      <c r="D51" s="10" t="s">
        <v>315</v>
      </c>
      <c r="E51" s="44">
        <v>34380</v>
      </c>
    </row>
    <row r="52" spans="1:5" ht="16.5" customHeight="1">
      <c r="A52" s="11">
        <f>2025270+20000+40000</f>
        <v>2085270</v>
      </c>
      <c r="B52" s="44">
        <f>21200+43480+144283.72+108082.06+198104.74+432727.71+33029+38620+132291.6+151101.57</f>
        <v>1302920.4000000001</v>
      </c>
      <c r="C52" s="6" t="s">
        <v>8</v>
      </c>
      <c r="D52" s="10" t="s">
        <v>320</v>
      </c>
      <c r="E52" s="44">
        <v>151101.57</v>
      </c>
    </row>
    <row r="53" spans="1:5" ht="16.5" customHeight="1">
      <c r="A53" s="11">
        <f>346000+10000</f>
        <v>356000</v>
      </c>
      <c r="B53" s="44">
        <f>20506.5+19185.76+17997.08+15910.97+14996.1+15707.82+24087.54+10442.35+63163.91+18851.48</f>
        <v>220849.51000000004</v>
      </c>
      <c r="C53" s="6" t="s">
        <v>9</v>
      </c>
      <c r="D53" s="10" t="s">
        <v>333</v>
      </c>
      <c r="E53" s="44">
        <v>18851.48</v>
      </c>
    </row>
    <row r="54" spans="1:5" ht="16.5" customHeight="1">
      <c r="A54" s="11">
        <f>298000+30000</f>
        <v>328000</v>
      </c>
      <c r="B54" s="44">
        <f>19000+27632.25+18900+27000+5279.38</f>
        <v>97811.63</v>
      </c>
      <c r="C54" s="6" t="s">
        <v>55</v>
      </c>
      <c r="D54" s="10" t="s">
        <v>339</v>
      </c>
      <c r="E54" s="44">
        <v>5279.38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348</v>
      </c>
      <c r="E55" s="44">
        <v>0</v>
      </c>
    </row>
    <row r="56" spans="1:5" ht="16.5" customHeight="1">
      <c r="A56" s="11">
        <f>2304000+60000</f>
        <v>2364000</v>
      </c>
      <c r="B56" s="44">
        <f>1058000+9000+1238000</f>
        <v>2305000</v>
      </c>
      <c r="C56" s="6" t="s">
        <v>33</v>
      </c>
      <c r="D56" s="10" t="s">
        <v>352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415</v>
      </c>
      <c r="D57" s="10" t="s">
        <v>356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12512534.780000001</v>
      </c>
      <c r="C58" s="6"/>
      <c r="D58" s="10"/>
      <c r="E58" s="37">
        <f>SUM(E45:E57)</f>
        <v>880420.43</v>
      </c>
    </row>
    <row r="59" spans="1:5" ht="16.5" customHeight="1">
      <c r="A59" s="11"/>
      <c r="B59" s="44">
        <f>1678800+554100+548800+547500+547500+546000+545400+543300</f>
        <v>5511400</v>
      </c>
      <c r="C59" s="6" t="s">
        <v>444</v>
      </c>
      <c r="D59" s="10" t="s">
        <v>446</v>
      </c>
      <c r="E59" s="11">
        <v>543300</v>
      </c>
    </row>
    <row r="60" spans="1:5" ht="16.5" customHeight="1">
      <c r="A60" s="11"/>
      <c r="B60" s="44">
        <f>272000+89500+88000+87500+87000+87000+87000+86500</f>
        <v>884500</v>
      </c>
      <c r="C60" s="6" t="s">
        <v>454</v>
      </c>
      <c r="D60" s="10" t="s">
        <v>446</v>
      </c>
      <c r="E60" s="11">
        <v>86500</v>
      </c>
    </row>
    <row r="61" spans="1:5" ht="16.5" customHeight="1">
      <c r="A61" s="11"/>
      <c r="B61" s="44"/>
      <c r="C61" s="6" t="s">
        <v>455</v>
      </c>
      <c r="D61" s="10"/>
      <c r="E61" s="11"/>
    </row>
    <row r="62" spans="1:5" ht="16.5" customHeight="1">
      <c r="A62" s="11"/>
      <c r="B62" s="44">
        <f>72000+18000+18000+18000+18000+18000</f>
        <v>162000</v>
      </c>
      <c r="C62" s="6" t="s">
        <v>472</v>
      </c>
      <c r="D62" s="10" t="s">
        <v>464</v>
      </c>
      <c r="E62" s="11">
        <v>0</v>
      </c>
    </row>
    <row r="63" spans="1:5" ht="16.5" customHeight="1">
      <c r="A63" s="11"/>
      <c r="B63" s="44">
        <f>3060+900+900+900+900+900</f>
        <v>7560</v>
      </c>
      <c r="C63" s="6" t="s">
        <v>473</v>
      </c>
      <c r="D63" s="10" t="s">
        <v>464</v>
      </c>
      <c r="E63" s="11">
        <v>0</v>
      </c>
    </row>
    <row r="64" spans="1:5" ht="16.5" customHeight="1">
      <c r="A64" s="11"/>
      <c r="B64" s="44">
        <f>1000+37200+15000+806850+891540+600500+639900+626000+617900+622200</f>
        <v>4858090</v>
      </c>
      <c r="C64" s="6" t="s">
        <v>37</v>
      </c>
      <c r="D64" s="10" t="s">
        <v>382</v>
      </c>
      <c r="E64" s="11">
        <v>622200</v>
      </c>
    </row>
    <row r="65" spans="1:5" ht="16.5" customHeight="1">
      <c r="A65" s="11"/>
      <c r="B65" s="44">
        <f>840000+383000+318700+122000+696184+543000+1331848</f>
        <v>4234732</v>
      </c>
      <c r="C65" s="6" t="s">
        <v>10</v>
      </c>
      <c r="D65" s="10" t="s">
        <v>456</v>
      </c>
      <c r="E65" s="11">
        <v>0</v>
      </c>
    </row>
    <row r="66" spans="1:5" ht="16.5" customHeight="1">
      <c r="A66" s="11"/>
      <c r="B66" s="44">
        <f>50000+255000+139000+180000+40000+85000</f>
        <v>749000</v>
      </c>
      <c r="C66" s="6" t="s">
        <v>372</v>
      </c>
      <c r="D66" s="10" t="s">
        <v>383</v>
      </c>
      <c r="E66" s="44">
        <v>0</v>
      </c>
    </row>
    <row r="67" spans="1:5" ht="16.5" customHeight="1">
      <c r="A67" s="11"/>
      <c r="B67" s="44">
        <f>10760.56+10804.7+79973.73+45061.79+9843.41+52348.44+52815.1+61877.6+24095.4</f>
        <v>347580.73000000004</v>
      </c>
      <c r="C67" s="6" t="s">
        <v>140</v>
      </c>
      <c r="D67" s="10" t="s">
        <v>384</v>
      </c>
      <c r="E67" s="44">
        <v>24095.4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385</v>
      </c>
      <c r="E68" s="44">
        <v>0</v>
      </c>
    </row>
    <row r="69" spans="1:5" ht="16.5" customHeight="1">
      <c r="A69" s="11"/>
      <c r="B69" s="44">
        <f>669100+669820+667820+720+83000</f>
        <v>2090460</v>
      </c>
      <c r="C69" s="6" t="s">
        <v>126</v>
      </c>
      <c r="D69" s="10" t="s">
        <v>386</v>
      </c>
      <c r="E69" s="44">
        <v>0</v>
      </c>
    </row>
    <row r="70" spans="1:5" ht="16.5" customHeight="1">
      <c r="A70" s="11"/>
      <c r="B70" s="36">
        <f>SUM(B59:B69)</f>
        <v>19207688.46</v>
      </c>
      <c r="C70" s="6"/>
      <c r="D70" s="10"/>
      <c r="E70" s="37">
        <f>SUM(E59:E69)</f>
        <v>1276095.4</v>
      </c>
    </row>
    <row r="71" spans="1:5" ht="16.5" customHeight="1">
      <c r="A71" s="11"/>
      <c r="B71" s="42">
        <f>SUM(B70,B58)</f>
        <v>31720223.240000002</v>
      </c>
      <c r="C71" s="8"/>
      <c r="D71" s="10"/>
      <c r="E71" s="42">
        <f>SUM(E70,E58)</f>
        <v>2156515.83</v>
      </c>
    </row>
    <row r="72" spans="1:5" ht="16.5" customHeight="1">
      <c r="A72" s="11"/>
      <c r="B72" s="36">
        <f>SUM(B28-B71)</f>
        <v>5345923.509999998</v>
      </c>
      <c r="C72" s="6"/>
      <c r="D72" s="10"/>
      <c r="E72" s="37">
        <f>SUM(E28-E71)</f>
        <v>1075328.7899999996</v>
      </c>
    </row>
    <row r="73" spans="1:5" ht="16.5" customHeight="1" thickBot="1">
      <c r="A73" s="90"/>
      <c r="B73" s="46">
        <f>SUM(B7+B72)</f>
        <v>35899576.739999995</v>
      </c>
      <c r="C73" s="47"/>
      <c r="D73" s="89"/>
      <c r="E73" s="46">
        <f>SUM(E7+E72)</f>
        <v>35899576.74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3" t="s">
        <v>16</v>
      </c>
      <c r="B79" s="293"/>
      <c r="C79" s="293"/>
      <c r="D79" s="293"/>
      <c r="E79" s="293"/>
    </row>
    <row r="80" spans="1:5" ht="16.5" customHeight="1">
      <c r="A80" s="293" t="s">
        <v>95</v>
      </c>
      <c r="B80" s="293"/>
      <c r="C80" s="293"/>
      <c r="D80" s="293"/>
      <c r="E80" s="293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3" t="s">
        <v>14</v>
      </c>
      <c r="B82" s="293"/>
      <c r="C82" s="293"/>
      <c r="D82" s="293"/>
      <c r="E82" s="293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3" t="s">
        <v>133</v>
      </c>
      <c r="B85" s="293"/>
      <c r="C85" s="293"/>
      <c r="D85" s="293"/>
      <c r="E85" s="293"/>
    </row>
    <row r="86" spans="1:5" ht="16.5" customHeight="1">
      <c r="A86" s="293" t="s">
        <v>15</v>
      </c>
      <c r="B86" s="293"/>
      <c r="C86" s="293"/>
      <c r="D86" s="293"/>
      <c r="E86" s="293"/>
    </row>
    <row r="87" spans="1:5" ht="16.5" customHeight="1">
      <c r="A87" s="294">
        <v>240178</v>
      </c>
      <c r="B87" s="294"/>
      <c r="C87" s="294"/>
      <c r="D87" s="294"/>
      <c r="E87" s="294"/>
    </row>
    <row r="88" spans="1:5" ht="18" customHeight="1">
      <c r="A88" s="201"/>
      <c r="B88" s="201"/>
      <c r="C88" s="201"/>
      <c r="D88" s="201"/>
      <c r="E88" s="201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9.5" customHeight="1">
      <c r="A92" s="292" t="s">
        <v>511</v>
      </c>
      <c r="B92" s="292"/>
      <c r="C92" s="292"/>
      <c r="D92" s="292"/>
      <c r="E92" s="292"/>
    </row>
    <row r="93" spans="1:5" ht="19.5" customHeight="1">
      <c r="A93" s="292" t="s">
        <v>17</v>
      </c>
      <c r="B93" s="292"/>
      <c r="C93" s="292"/>
      <c r="D93" s="292"/>
      <c r="E93" s="292"/>
    </row>
    <row r="94" spans="1:5" ht="19.5" customHeight="1">
      <c r="A94" s="295" t="s">
        <v>135</v>
      </c>
      <c r="B94" s="295"/>
      <c r="C94" s="25"/>
      <c r="D94" s="25"/>
      <c r="E94" s="47">
        <v>2372.4</v>
      </c>
    </row>
    <row r="95" spans="1:5" ht="19.5" customHeight="1">
      <c r="A95" s="51" t="s">
        <v>18</v>
      </c>
      <c r="B95" s="51"/>
      <c r="C95" s="25"/>
      <c r="D95" s="25"/>
      <c r="E95" s="47">
        <v>62610</v>
      </c>
    </row>
    <row r="96" spans="1:5" ht="19.5" customHeight="1">
      <c r="A96" s="49" t="s">
        <v>79</v>
      </c>
      <c r="B96" s="6"/>
      <c r="C96" s="6"/>
      <c r="D96" s="16"/>
      <c r="E96" s="49">
        <v>0</v>
      </c>
    </row>
    <row r="97" spans="1:5" ht="19.5" customHeight="1">
      <c r="A97" s="295" t="s">
        <v>484</v>
      </c>
      <c r="B97" s="295"/>
      <c r="C97" s="6"/>
      <c r="D97" s="16"/>
      <c r="E97" s="49">
        <v>4538</v>
      </c>
    </row>
    <row r="98" spans="1:5" ht="19.5" customHeight="1">
      <c r="A98" s="295" t="s">
        <v>501</v>
      </c>
      <c r="B98" s="295"/>
      <c r="C98" s="6"/>
      <c r="D98" s="16"/>
      <c r="E98" s="49">
        <v>2660</v>
      </c>
    </row>
    <row r="99" spans="1:5" ht="19.5" customHeight="1">
      <c r="A99" s="295" t="s">
        <v>493</v>
      </c>
      <c r="B99" s="295"/>
      <c r="C99" s="6"/>
      <c r="D99" s="16"/>
      <c r="E99" s="49">
        <v>228.85</v>
      </c>
    </row>
    <row r="100" spans="1:5" ht="19.5" customHeight="1">
      <c r="A100" s="295" t="s">
        <v>19</v>
      </c>
      <c r="B100" s="295"/>
      <c r="C100" s="6"/>
      <c r="D100" s="16"/>
      <c r="E100" s="49">
        <v>274.62</v>
      </c>
    </row>
    <row r="101" spans="1:5" ht="19.5" customHeight="1">
      <c r="A101" s="25" t="s">
        <v>20</v>
      </c>
      <c r="B101" s="25"/>
      <c r="C101" s="6"/>
      <c r="D101" s="16"/>
      <c r="E101" s="50">
        <f>SUM(E94:E100)</f>
        <v>72683.87</v>
      </c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6"/>
      <c r="D103" s="16"/>
      <c r="E103" s="50"/>
    </row>
    <row r="104" spans="1:5" ht="19.5" customHeight="1">
      <c r="A104" s="25"/>
      <c r="B104" s="25"/>
      <c r="C104" s="262"/>
      <c r="D104" s="16"/>
      <c r="E104" s="50"/>
    </row>
    <row r="105" spans="1:5" ht="19.5" customHeight="1">
      <c r="A105" s="25"/>
      <c r="B105" s="25"/>
      <c r="C105" s="25"/>
      <c r="D105" s="16"/>
      <c r="E105" s="50"/>
    </row>
    <row r="106" spans="1:5" ht="19.5" customHeight="1">
      <c r="A106" s="302" t="s">
        <v>512</v>
      </c>
      <c r="B106" s="302"/>
      <c r="C106" s="302"/>
      <c r="D106" s="302"/>
      <c r="E106" s="302"/>
    </row>
    <row r="107" spans="1:5" ht="19.5" customHeight="1">
      <c r="A107" s="292" t="s">
        <v>17</v>
      </c>
      <c r="B107" s="292"/>
      <c r="C107" s="292"/>
      <c r="D107" s="292"/>
      <c r="E107" s="292"/>
    </row>
    <row r="108" spans="1:5" ht="19.5" customHeight="1">
      <c r="A108" s="295" t="s">
        <v>135</v>
      </c>
      <c r="B108" s="295"/>
      <c r="C108" s="25"/>
      <c r="D108" s="25"/>
      <c r="E108" s="47">
        <v>2372.4</v>
      </c>
    </row>
    <row r="109" spans="1:5" ht="19.5" customHeight="1">
      <c r="A109" s="51" t="s">
        <v>18</v>
      </c>
      <c r="B109" s="51"/>
      <c r="C109" s="25"/>
      <c r="D109" s="25"/>
      <c r="E109" s="47">
        <v>14525</v>
      </c>
    </row>
    <row r="110" spans="1:5" ht="19.5" customHeight="1">
      <c r="A110" s="51" t="s">
        <v>484</v>
      </c>
      <c r="B110" s="51"/>
      <c r="C110" s="25"/>
      <c r="D110" s="25"/>
      <c r="E110" s="47">
        <v>4538</v>
      </c>
    </row>
    <row r="111" spans="1:5" ht="19.5" customHeight="1">
      <c r="A111" s="275" t="s">
        <v>501</v>
      </c>
      <c r="B111" s="275"/>
      <c r="C111" s="25"/>
      <c r="D111" s="25"/>
      <c r="E111" s="47">
        <v>2660</v>
      </c>
    </row>
    <row r="112" spans="1:5" ht="19.5" customHeight="1">
      <c r="A112" s="25" t="s">
        <v>20</v>
      </c>
      <c r="B112" s="25"/>
      <c r="C112" s="25"/>
      <c r="D112" s="16"/>
      <c r="E112" s="52">
        <f>SUM(E108:E111)</f>
        <v>24095.4</v>
      </c>
    </row>
    <row r="113" spans="1:5" ht="19.5" customHeight="1">
      <c r="A113" s="25"/>
      <c r="B113" s="25"/>
      <c r="C113" s="25"/>
      <c r="D113" s="16"/>
      <c r="E113" s="52"/>
    </row>
    <row r="114" spans="1:5" ht="19.5" customHeight="1">
      <c r="A114" s="25"/>
      <c r="B114" s="25"/>
      <c r="C114" s="25" t="s">
        <v>443</v>
      </c>
      <c r="D114" s="16"/>
      <c r="E114" s="52"/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5"/>
      <c r="B116" s="25"/>
      <c r="C116" s="25"/>
      <c r="D116" s="16"/>
      <c r="E116" s="52"/>
    </row>
    <row r="117" spans="1:5" ht="19.5" customHeight="1">
      <c r="A117" s="292" t="s">
        <v>513</v>
      </c>
      <c r="B117" s="292"/>
      <c r="C117" s="292"/>
      <c r="D117" s="292"/>
      <c r="E117" s="292"/>
    </row>
    <row r="118" spans="1:5" ht="19.5" customHeight="1">
      <c r="A118" s="292" t="s">
        <v>142</v>
      </c>
      <c r="B118" s="292"/>
      <c r="C118" s="292"/>
      <c r="D118" s="292"/>
      <c r="E118" s="292"/>
    </row>
    <row r="119" spans="1:5" ht="19.5" customHeight="1">
      <c r="A119" s="51" t="s">
        <v>92</v>
      </c>
      <c r="B119" s="51"/>
      <c r="C119" s="25"/>
      <c r="D119" s="25"/>
      <c r="E119" s="47">
        <v>0</v>
      </c>
    </row>
    <row r="120" spans="1:5" ht="19.5" customHeight="1">
      <c r="A120" s="51" t="s">
        <v>93</v>
      </c>
      <c r="B120" s="51"/>
      <c r="C120" s="25"/>
      <c r="D120" s="25"/>
      <c r="E120" s="47">
        <v>0</v>
      </c>
    </row>
    <row r="121" spans="1:5" ht="19.5" customHeight="1">
      <c r="A121" s="51" t="s">
        <v>387</v>
      </c>
      <c r="B121" s="47"/>
      <c r="C121" s="47"/>
      <c r="D121" s="47"/>
      <c r="E121" s="47">
        <v>0</v>
      </c>
    </row>
    <row r="122" spans="1:5" ht="19.5" customHeight="1">
      <c r="A122" s="51" t="s">
        <v>388</v>
      </c>
      <c r="B122" s="51"/>
      <c r="C122" s="25"/>
      <c r="D122" s="25"/>
      <c r="E122" s="47">
        <v>0</v>
      </c>
    </row>
    <row r="123" spans="1:5" ht="19.5" customHeight="1">
      <c r="A123" s="51" t="s">
        <v>389</v>
      </c>
      <c r="B123" s="51"/>
      <c r="C123" s="51"/>
      <c r="D123" s="25"/>
      <c r="E123" s="47">
        <v>0</v>
      </c>
    </row>
    <row r="124" spans="1:5" ht="19.5" customHeight="1">
      <c r="A124" s="51" t="s">
        <v>418</v>
      </c>
      <c r="B124" s="51"/>
      <c r="C124" s="51"/>
      <c r="D124" s="25"/>
      <c r="E124" s="47">
        <v>0</v>
      </c>
    </row>
    <row r="125" spans="1:5" ht="19.5" customHeight="1">
      <c r="A125" s="295" t="s">
        <v>436</v>
      </c>
      <c r="B125" s="295"/>
      <c r="C125" s="295"/>
      <c r="D125" s="25"/>
      <c r="E125" s="47">
        <v>0</v>
      </c>
    </row>
    <row r="126" spans="1:5" ht="19.5" customHeight="1">
      <c r="A126" s="25"/>
      <c r="B126" s="25"/>
      <c r="C126" s="25"/>
      <c r="D126" s="16"/>
      <c r="E126" s="52"/>
    </row>
    <row r="127" spans="1:5" ht="19.5" customHeight="1">
      <c r="A127" s="25"/>
      <c r="B127" s="25"/>
      <c r="C127" s="25" t="s">
        <v>20</v>
      </c>
      <c r="D127" s="16"/>
      <c r="E127" s="52">
        <f>SUM(E119:E126)</f>
        <v>0</v>
      </c>
    </row>
    <row r="128" spans="1:5" ht="19.5" customHeight="1">
      <c r="A128" s="302"/>
      <c r="B128" s="302"/>
      <c r="C128" s="302"/>
      <c r="D128" s="302"/>
      <c r="E128" s="302"/>
    </row>
    <row r="129" spans="1:5" ht="19.5" customHeight="1">
      <c r="A129" s="51"/>
      <c r="B129" s="47"/>
      <c r="C129" s="47"/>
      <c r="D129" s="47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25"/>
      <c r="B136" s="25"/>
      <c r="C136" s="25"/>
      <c r="D136" s="16"/>
      <c r="E136" s="52"/>
    </row>
    <row r="137" spans="1:5" ht="19.5" customHeight="1">
      <c r="A137" s="1"/>
      <c r="C137" s="25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  <row r="791" spans="1:5" ht="19.5" customHeight="1">
      <c r="A791" s="3"/>
      <c r="B791" s="3"/>
      <c r="E791" s="5"/>
    </row>
  </sheetData>
  <sheetProtection/>
  <mergeCells count="25">
    <mergeCell ref="A125:C125"/>
    <mergeCell ref="A128:E128"/>
    <mergeCell ref="A100:B100"/>
    <mergeCell ref="A108:B108"/>
    <mergeCell ref="A118:E118"/>
    <mergeCell ref="A117:E117"/>
    <mergeCell ref="A106:E106"/>
    <mergeCell ref="A107:E107"/>
    <mergeCell ref="A79:E79"/>
    <mergeCell ref="A80:E80"/>
    <mergeCell ref="A82:E82"/>
    <mergeCell ref="A86:E86"/>
    <mergeCell ref="C1:E1"/>
    <mergeCell ref="A2:E2"/>
    <mergeCell ref="A3:E3"/>
    <mergeCell ref="A4:B4"/>
    <mergeCell ref="C4:C6"/>
    <mergeCell ref="A93:E93"/>
    <mergeCell ref="A92:E92"/>
    <mergeCell ref="A85:E85"/>
    <mergeCell ref="A87:E87"/>
    <mergeCell ref="A94:B94"/>
    <mergeCell ref="A99:B99"/>
    <mergeCell ref="A97:B97"/>
    <mergeCell ref="A98:B98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D59" sqref="D59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2"/>
      <c r="B1" s="302"/>
      <c r="C1" s="302"/>
      <c r="D1" s="302"/>
      <c r="E1" s="302"/>
      <c r="F1" s="302"/>
    </row>
    <row r="2" spans="1:6" ht="18.75">
      <c r="A2" s="302" t="s">
        <v>514</v>
      </c>
      <c r="B2" s="302"/>
      <c r="C2" s="302"/>
      <c r="D2" s="302"/>
      <c r="E2" s="302"/>
      <c r="F2" s="302"/>
    </row>
    <row r="3" spans="1:6" ht="18.75">
      <c r="A3" s="311" t="s">
        <v>80</v>
      </c>
      <c r="B3" s="311"/>
      <c r="C3" s="311"/>
      <c r="D3" s="311"/>
      <c r="E3" s="311"/>
      <c r="F3" s="311"/>
    </row>
    <row r="4" spans="1:6" ht="18.75">
      <c r="A4" s="306" t="s">
        <v>11</v>
      </c>
      <c r="B4" s="307"/>
      <c r="C4" s="308"/>
      <c r="D4" s="308"/>
      <c r="E4" s="308"/>
      <c r="F4" s="309"/>
    </row>
    <row r="5" spans="1:6" ht="18.75">
      <c r="A5" s="305" t="s">
        <v>25</v>
      </c>
      <c r="B5" s="303" t="s">
        <v>3</v>
      </c>
      <c r="C5" s="303" t="s">
        <v>23</v>
      </c>
      <c r="D5" s="303" t="s">
        <v>38</v>
      </c>
      <c r="E5" s="303" t="s">
        <v>39</v>
      </c>
      <c r="F5" s="144" t="s">
        <v>143</v>
      </c>
    </row>
    <row r="6" spans="1:6" ht="18.75">
      <c r="A6" s="305"/>
      <c r="B6" s="303"/>
      <c r="C6" s="303"/>
      <c r="D6" s="303"/>
      <c r="E6" s="303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375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0</v>
      </c>
      <c r="E9" s="91">
        <f>507+8286+2563+249502+150+370+414</f>
        <v>261792</v>
      </c>
      <c r="F9" s="91">
        <f>E9-C9</f>
        <v>121792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4028.44</v>
      </c>
      <c r="E10" s="91">
        <f>343.88+11543.2+12241.62+38555.45+43741.29+2163.62+2146.3+4028.44</f>
        <v>114763.8</v>
      </c>
      <c r="F10" s="91">
        <f>SUM(E10-C10)</f>
        <v>7763.800000000003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0</v>
      </c>
      <c r="E11" s="91">
        <f>200+200+11821+400+200</f>
        <v>12821</v>
      </c>
      <c r="F11" s="91">
        <f>E11-C11</f>
        <v>2821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4028.44</v>
      </c>
      <c r="E12" s="148">
        <f>SUM(E9:E11)</f>
        <v>389376.8</v>
      </c>
      <c r="F12" s="148">
        <f>SUM(F9:F11)</f>
        <v>132376.8</v>
      </c>
    </row>
    <row r="13" spans="1:6" ht="19.5" thickTop="1">
      <c r="A13" s="162" t="s">
        <v>44</v>
      </c>
      <c r="B13" s="143" t="s">
        <v>376</v>
      </c>
      <c r="C13" s="91"/>
      <c r="D13" s="91"/>
      <c r="E13" s="91"/>
      <c r="F13" s="91"/>
    </row>
    <row r="14" spans="1:6" ht="18.75">
      <c r="A14" s="258" t="s">
        <v>425</v>
      </c>
      <c r="B14" s="16" t="s">
        <v>426</v>
      </c>
      <c r="C14" s="91">
        <v>0</v>
      </c>
      <c r="D14" s="91">
        <v>38.8</v>
      </c>
      <c r="E14" s="91">
        <f>19.4+1222.2+38.8+38.8</f>
        <v>1319.2</v>
      </c>
      <c r="F14" s="91">
        <f>E14-C14</f>
        <v>1319.2</v>
      </c>
    </row>
    <row r="15" spans="1:6" ht="18.75">
      <c r="A15" s="160" t="s">
        <v>434</v>
      </c>
      <c r="B15" s="146">
        <v>412106</v>
      </c>
      <c r="C15" s="91">
        <v>1600</v>
      </c>
      <c r="D15" s="91">
        <v>76</v>
      </c>
      <c r="E15" s="35">
        <f>555+107+75+75+144+107+397+151+76</f>
        <v>1687</v>
      </c>
      <c r="F15" s="91">
        <f aca="true" t="shared" si="0" ref="F15:F23">E15-C15</f>
        <v>87</v>
      </c>
    </row>
    <row r="16" spans="1:6" ht="18.75">
      <c r="A16" s="160" t="s">
        <v>427</v>
      </c>
      <c r="B16" s="146">
        <v>412111</v>
      </c>
      <c r="C16" s="91">
        <v>200</v>
      </c>
      <c r="D16" s="232">
        <v>0</v>
      </c>
      <c r="E16" s="91">
        <f>20+20+10</f>
        <v>50</v>
      </c>
      <c r="F16" s="91">
        <f t="shared" si="0"/>
        <v>-150</v>
      </c>
    </row>
    <row r="17" spans="1:6" ht="18.75">
      <c r="A17" s="160" t="s">
        <v>428</v>
      </c>
      <c r="B17" s="146">
        <v>412128</v>
      </c>
      <c r="C17" s="91">
        <v>300</v>
      </c>
      <c r="D17" s="91">
        <v>0</v>
      </c>
      <c r="E17" s="91">
        <f>150+50+50+50</f>
        <v>300</v>
      </c>
      <c r="F17" s="91">
        <f t="shared" si="0"/>
        <v>0</v>
      </c>
    </row>
    <row r="18" spans="1:6" ht="18.75">
      <c r="A18" s="160" t="s">
        <v>429</v>
      </c>
      <c r="B18" s="10" t="s">
        <v>391</v>
      </c>
      <c r="C18" s="91">
        <v>4400</v>
      </c>
      <c r="D18" s="91">
        <v>0</v>
      </c>
      <c r="E18" s="91">
        <f>24240+1782+29463+26827</f>
        <v>82312</v>
      </c>
      <c r="F18" s="91">
        <f t="shared" si="0"/>
        <v>77912</v>
      </c>
    </row>
    <row r="19" spans="1:6" ht="18.75">
      <c r="A19" s="160" t="s">
        <v>430</v>
      </c>
      <c r="B19" s="10" t="s">
        <v>392</v>
      </c>
      <c r="C19" s="91">
        <v>1000</v>
      </c>
      <c r="D19" s="232">
        <v>0</v>
      </c>
      <c r="E19" s="91">
        <f>1000+1000+1000+1000</f>
        <v>4000</v>
      </c>
      <c r="F19" s="91">
        <f t="shared" si="0"/>
        <v>3000</v>
      </c>
    </row>
    <row r="20" spans="1:6" ht="18.75">
      <c r="A20" s="160" t="s">
        <v>431</v>
      </c>
      <c r="B20" s="10" t="s">
        <v>393</v>
      </c>
      <c r="C20" s="91">
        <v>59000</v>
      </c>
      <c r="D20" s="91">
        <v>0</v>
      </c>
      <c r="E20" s="91">
        <f>360+900+2600+44800+1200+10320+480</f>
        <v>60660</v>
      </c>
      <c r="F20" s="91">
        <f t="shared" si="0"/>
        <v>1660</v>
      </c>
    </row>
    <row r="21" spans="1:6" ht="18.75">
      <c r="A21" s="160" t="s">
        <v>432</v>
      </c>
      <c r="B21" s="10" t="s">
        <v>394</v>
      </c>
      <c r="C21" s="91">
        <v>15000</v>
      </c>
      <c r="D21" s="91">
        <v>2270</v>
      </c>
      <c r="E21" s="91">
        <f>4140+1540+2880+2020+1840+2600+1160+1690+2270</f>
        <v>20140</v>
      </c>
      <c r="F21" s="91">
        <f t="shared" si="0"/>
        <v>5140</v>
      </c>
    </row>
    <row r="22" spans="1:6" ht="18.75">
      <c r="A22" s="160" t="s">
        <v>433</v>
      </c>
      <c r="B22" s="10" t="s">
        <v>395</v>
      </c>
      <c r="C22" s="91">
        <v>500</v>
      </c>
      <c r="D22" s="91">
        <v>40</v>
      </c>
      <c r="E22" s="91">
        <f>100+40+20+20+40+40+100+60+40</f>
        <v>460</v>
      </c>
      <c r="F22" s="91">
        <f t="shared" si="0"/>
        <v>-40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2424.8</v>
      </c>
      <c r="E23" s="148">
        <f>SUM(E14:E22)</f>
        <v>170928.2</v>
      </c>
      <c r="F23" s="148">
        <f t="shared" si="0"/>
        <v>88928.20000000001</v>
      </c>
    </row>
    <row r="24" spans="1:6" ht="19.5" thickTop="1">
      <c r="A24" s="163" t="s">
        <v>45</v>
      </c>
      <c r="B24" s="85" t="s">
        <v>377</v>
      </c>
      <c r="C24" s="91"/>
      <c r="D24" s="91"/>
      <c r="E24" s="91"/>
      <c r="F24" s="91"/>
    </row>
    <row r="25" spans="1:6" ht="18.75">
      <c r="A25" s="160" t="s">
        <v>46</v>
      </c>
      <c r="B25" s="10" t="s">
        <v>396</v>
      </c>
      <c r="C25" s="91">
        <v>250000</v>
      </c>
      <c r="D25" s="91">
        <v>8079.87</v>
      </c>
      <c r="E25" s="91">
        <f>2794.93+7921.51+70513.24+2794.93+7921.51+85947.89+2472.39+6929.48+59059.73+8079.87</f>
        <v>254435.48000000004</v>
      </c>
      <c r="F25" s="91">
        <f>E25-C25</f>
        <v>4435.48000000004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8079.87</v>
      </c>
      <c r="E26" s="148">
        <f>SUM(E25)</f>
        <v>254435.48000000004</v>
      </c>
      <c r="F26" s="148">
        <f>SUM(F25)</f>
        <v>4435.48000000004</v>
      </c>
    </row>
    <row r="27" spans="1:6" ht="19.5" thickTop="1">
      <c r="A27" s="163" t="s">
        <v>47</v>
      </c>
      <c r="B27" s="85" t="s">
        <v>378</v>
      </c>
      <c r="C27" s="91"/>
      <c r="D27" s="91"/>
      <c r="E27" s="91"/>
      <c r="F27" s="91"/>
    </row>
    <row r="28" spans="1:6" ht="18.75">
      <c r="A28" s="160" t="s">
        <v>48</v>
      </c>
      <c r="B28" s="10" t="s">
        <v>397</v>
      </c>
      <c r="C28" s="91">
        <v>32000</v>
      </c>
      <c r="D28" s="150">
        <v>31700</v>
      </c>
      <c r="E28" s="91">
        <f>59000+5000+5000+31700</f>
        <v>100700</v>
      </c>
      <c r="F28" s="91">
        <f>E28-C28</f>
        <v>68700</v>
      </c>
    </row>
    <row r="29" spans="1:6" ht="18.75">
      <c r="A29" s="160" t="s">
        <v>82</v>
      </c>
      <c r="B29" s="10" t="s">
        <v>398</v>
      </c>
      <c r="C29" s="91">
        <v>600</v>
      </c>
      <c r="D29" s="232">
        <v>0</v>
      </c>
      <c r="E29" s="91">
        <f>200+300+100</f>
        <v>600</v>
      </c>
      <c r="F29" s="91">
        <f>E29-C29</f>
        <v>0</v>
      </c>
    </row>
    <row r="30" spans="1:6" ht="18.75">
      <c r="A30" s="160" t="s">
        <v>83</v>
      </c>
      <c r="B30" s="10" t="s">
        <v>399</v>
      </c>
      <c r="C30" s="91">
        <v>900</v>
      </c>
      <c r="D30" s="150">
        <v>0</v>
      </c>
      <c r="E30" s="91">
        <f>300+100+300</f>
        <v>700</v>
      </c>
      <c r="F30" s="91">
        <f>E30-C30</f>
        <v>-200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31700</v>
      </c>
      <c r="E31" s="148">
        <f>SUM(E28:E30)</f>
        <v>102000</v>
      </c>
      <c r="F31" s="148">
        <f>SUM(F28:F30)</f>
        <v>68500</v>
      </c>
    </row>
    <row r="32" spans="1:6" ht="19.5" thickTop="1">
      <c r="A32" s="159" t="s">
        <v>81</v>
      </c>
      <c r="B32" s="85" t="s">
        <v>379</v>
      </c>
      <c r="C32" s="91"/>
      <c r="D32" s="91"/>
      <c r="E32" s="91"/>
      <c r="F32" s="91"/>
    </row>
    <row r="33" spans="1:6" ht="18.75">
      <c r="A33" s="160" t="s">
        <v>84</v>
      </c>
      <c r="B33" s="10" t="s">
        <v>400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10"/>
      <c r="B35" s="310"/>
      <c r="C35" s="310"/>
      <c r="D35" s="310"/>
      <c r="E35" s="310"/>
      <c r="F35" s="310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4" t="s">
        <v>54</v>
      </c>
      <c r="B42" s="304"/>
      <c r="C42" s="304"/>
      <c r="D42" s="304"/>
      <c r="E42" s="304"/>
      <c r="F42" s="304"/>
    </row>
    <row r="43" spans="1:6" ht="18.75">
      <c r="A43" s="306" t="s">
        <v>11</v>
      </c>
      <c r="B43" s="307"/>
      <c r="C43" s="308"/>
      <c r="D43" s="308"/>
      <c r="E43" s="308"/>
      <c r="F43" s="309"/>
    </row>
    <row r="44" spans="1:6" ht="18.75">
      <c r="A44" s="305" t="s">
        <v>25</v>
      </c>
      <c r="B44" s="303" t="s">
        <v>3</v>
      </c>
      <c r="C44" s="303" t="s">
        <v>23</v>
      </c>
      <c r="D44" s="303" t="s">
        <v>38</v>
      </c>
      <c r="E44" s="303" t="s">
        <v>39</v>
      </c>
      <c r="F44" s="144" t="s">
        <v>143</v>
      </c>
    </row>
    <row r="45" spans="1:6" ht="18.75">
      <c r="A45" s="305"/>
      <c r="B45" s="303"/>
      <c r="C45" s="303"/>
      <c r="D45" s="303"/>
      <c r="E45" s="303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1194731.19</v>
      </c>
      <c r="E48" s="91">
        <f>1216210.58+580033.34+124790.25+652064.43+1201839.75+750560.73-124790.25+611898.48+1194731.19</f>
        <v>6207338.5</v>
      </c>
      <c r="F48" s="91">
        <f>E48-C48</f>
        <v>-1307661.5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0</v>
      </c>
      <c r="E49" s="91">
        <f>215154.87+283683.71+195488.08+261600.59+305826.5+479682.66+532653.9</f>
        <v>2274090.31</v>
      </c>
      <c r="F49" s="91">
        <f aca="true" t="shared" si="1" ref="F49:F56">E49-C49</f>
        <v>-25909.689999999944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37733.64</v>
      </c>
      <c r="E50" s="91">
        <f>26703.05+30109.92+21021.95+28950.13+37733.64</f>
        <v>144518.69</v>
      </c>
      <c r="F50" s="91">
        <f t="shared" si="1"/>
        <v>55518.69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393602.13</v>
      </c>
      <c r="E51" s="91">
        <f>71990.7+151323.97+123585.2+164885.64+119037.24+393602.13</f>
        <v>1024424.88</v>
      </c>
      <c r="F51" s="91">
        <f t="shared" si="1"/>
        <v>59424.880000000005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545022.95</v>
      </c>
      <c r="E52" s="91">
        <f>161519.83+164661.93+150548.16+187323.81+170024.09+545022.95</f>
        <v>1379100.77</v>
      </c>
      <c r="F52" s="91">
        <f t="shared" si="1"/>
        <v>-673399.23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22235.64</v>
      </c>
      <c r="E54" s="91">
        <f>26735.31+22582.54+23766.08+22235.64</f>
        <v>95319.57</v>
      </c>
      <c r="F54" s="91">
        <f t="shared" si="1"/>
        <v>25319.570000000007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296790</v>
      </c>
      <c r="E55" s="91">
        <f>28172+13877+54077+19554+5260+29384+6872+97596+296790</f>
        <v>551582</v>
      </c>
      <c r="F55" s="91">
        <f>E55-C55</f>
        <v>3082</v>
      </c>
    </row>
    <row r="56" spans="1:6" ht="18.75">
      <c r="A56" s="160" t="s">
        <v>494</v>
      </c>
      <c r="B56" s="146">
        <v>421001</v>
      </c>
      <c r="C56" s="91">
        <v>0</v>
      </c>
      <c r="D56" s="91">
        <v>0</v>
      </c>
      <c r="E56" s="91">
        <v>124790.25</v>
      </c>
      <c r="F56" s="91">
        <f t="shared" si="1"/>
        <v>124790.25</v>
      </c>
    </row>
    <row r="57" spans="1:6" ht="19.5" thickBot="1">
      <c r="A57" s="161" t="s">
        <v>20</v>
      </c>
      <c r="B57" s="146"/>
      <c r="C57" s="148">
        <f>SUM(C48:C56)</f>
        <v>13570000</v>
      </c>
      <c r="D57" s="148">
        <f>SUM(D48:D56)</f>
        <v>2490115.5500000003</v>
      </c>
      <c r="E57" s="148">
        <f>SUM(E48:E56)</f>
        <v>11815741.450000001</v>
      </c>
      <c r="F57" s="148">
        <f>SUM(F48:F56)</f>
        <v>-1754258.55</v>
      </c>
    </row>
    <row r="58" spans="1:6" ht="19.5" thickTop="1">
      <c r="A58" s="166" t="s">
        <v>89</v>
      </c>
      <c r="B58" s="146"/>
      <c r="C58" s="150"/>
      <c r="D58" s="150"/>
      <c r="E58" s="150"/>
      <c r="F58" s="150"/>
    </row>
    <row r="59" spans="1:6" ht="18.75">
      <c r="A59" s="159" t="s">
        <v>374</v>
      </c>
      <c r="B59" s="154">
        <v>431000</v>
      </c>
      <c r="C59" s="91"/>
      <c r="D59" s="91"/>
      <c r="E59" s="91"/>
      <c r="F59" s="91"/>
    </row>
    <row r="60" spans="1:6" ht="18.75">
      <c r="A60" s="160" t="s">
        <v>90</v>
      </c>
      <c r="B60" s="146">
        <v>431002</v>
      </c>
      <c r="C60" s="91">
        <v>8307200</v>
      </c>
      <c r="D60" s="91">
        <v>0</v>
      </c>
      <c r="E60" s="91">
        <f>7732013+567440</f>
        <v>8299453</v>
      </c>
      <c r="F60" s="91">
        <f>E60-C60</f>
        <v>-7747</v>
      </c>
    </row>
    <row r="61" spans="1:6" ht="18.75">
      <c r="A61" s="160" t="s">
        <v>91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8307200</v>
      </c>
      <c r="D62" s="148">
        <f>SUM(D60:D61)</f>
        <v>0</v>
      </c>
      <c r="E62" s="148">
        <f>SUM(E60:E61)</f>
        <v>8299453</v>
      </c>
      <c r="F62" s="148">
        <f>SUM(F60:F61)</f>
        <v>-7747</v>
      </c>
    </row>
    <row r="63" spans="1:6" ht="19.5" thickTop="1">
      <c r="A63" s="161" t="s">
        <v>53</v>
      </c>
      <c r="B63" s="146"/>
      <c r="C63" s="155">
        <f>C12+C23+C26+C31+C34+C57+C62</f>
        <v>22500700</v>
      </c>
      <c r="D63" s="155">
        <f>SUM(D12+D23+D26+D31+D57+D62)</f>
        <v>2536348.66</v>
      </c>
      <c r="E63" s="155">
        <f>SUM(E12+E23+E26+E31+E34+E57+E62)</f>
        <v>21032469.93</v>
      </c>
      <c r="F63" s="155">
        <f>E63-C63</f>
        <v>-1468230.0700000003</v>
      </c>
    </row>
    <row r="64" spans="1:6" ht="18.75">
      <c r="A64" s="166" t="s">
        <v>452</v>
      </c>
      <c r="B64" s="146"/>
      <c r="C64" s="150"/>
      <c r="D64" s="150"/>
      <c r="E64" s="150"/>
      <c r="F64" s="150"/>
    </row>
    <row r="65" spans="1:6" ht="18.75">
      <c r="A65" s="159" t="s">
        <v>450</v>
      </c>
      <c r="B65" s="154">
        <v>441000</v>
      </c>
      <c r="C65" s="91"/>
      <c r="D65" s="91"/>
      <c r="E65" s="91"/>
      <c r="F65" s="91"/>
    </row>
    <row r="66" spans="1:6" ht="18.75">
      <c r="A66" s="160" t="s">
        <v>451</v>
      </c>
      <c r="B66" s="146">
        <v>441002</v>
      </c>
      <c r="C66" s="91">
        <v>0</v>
      </c>
      <c r="D66" s="91">
        <v>0</v>
      </c>
      <c r="E66" s="91">
        <f>3360600+3360600</f>
        <v>6721200</v>
      </c>
      <c r="F66" s="91">
        <f>E66-C66</f>
        <v>6721200</v>
      </c>
    </row>
    <row r="67" spans="1:6" ht="18.75">
      <c r="A67" s="160" t="s">
        <v>453</v>
      </c>
      <c r="B67" s="146">
        <v>441002</v>
      </c>
      <c r="C67" s="91"/>
      <c r="D67" s="91">
        <v>0</v>
      </c>
      <c r="E67" s="91">
        <f>455000+637000</f>
        <v>1092000</v>
      </c>
      <c r="F67" s="91">
        <f>E67+C67</f>
        <v>1092000</v>
      </c>
    </row>
    <row r="68" spans="1:6" ht="18.75">
      <c r="A68" s="160" t="s">
        <v>476</v>
      </c>
      <c r="B68" s="146">
        <v>441001</v>
      </c>
      <c r="C68" s="91"/>
      <c r="D68" s="91">
        <v>540</v>
      </c>
      <c r="E68" s="91">
        <f>75060+93960+540</f>
        <v>169560</v>
      </c>
      <c r="F68" s="91">
        <f>SUM(E68-C68)</f>
        <v>169560</v>
      </c>
    </row>
    <row r="69" spans="1:6" ht="19.5" thickBot="1">
      <c r="A69" s="161" t="s">
        <v>20</v>
      </c>
      <c r="B69" s="146"/>
      <c r="C69" s="148">
        <f>SUM(C66)</f>
        <v>0</v>
      </c>
      <c r="D69" s="148">
        <f>SUM(D66:D68)</f>
        <v>540</v>
      </c>
      <c r="E69" s="148">
        <f>SUM(E66:E68)</f>
        <v>7982760</v>
      </c>
      <c r="F69" s="148">
        <f>SUM(F66:F68)</f>
        <v>7982760</v>
      </c>
    </row>
    <row r="70" ht="18" thickTop="1"/>
  </sheetData>
  <sheetProtection/>
  <mergeCells count="17"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  <mergeCell ref="E44:E45"/>
    <mergeCell ref="A42:F42"/>
    <mergeCell ref="A44:A45"/>
    <mergeCell ref="B44:B45"/>
    <mergeCell ref="C44:C45"/>
    <mergeCell ref="D44:D45"/>
    <mergeCell ref="A43:F43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1" t="s">
        <v>59</v>
      </c>
      <c r="B1" s="281"/>
      <c r="C1" s="281"/>
    </row>
    <row r="2" spans="1:3" ht="18" customHeight="1">
      <c r="A2" s="281" t="s">
        <v>60</v>
      </c>
      <c r="B2" s="281"/>
      <c r="C2" s="281"/>
    </row>
    <row r="3" spans="1:3" ht="18" customHeight="1">
      <c r="A3" s="312" t="s">
        <v>515</v>
      </c>
      <c r="B3" s="312"/>
      <c r="C3" s="312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2536348.66</v>
      </c>
      <c r="C6" s="55">
        <f>2392677.27+731479.46+731296.94+1322478.14+1669962.89+1431835.19+681557.97+1235380.41+2536348.66</f>
        <v>12733016.93</v>
      </c>
    </row>
    <row r="7" spans="1:3" ht="18" customHeight="1">
      <c r="A7" s="56" t="s">
        <v>457</v>
      </c>
      <c r="B7" s="55">
        <v>0</v>
      </c>
      <c r="C7" s="55">
        <f>7732013+567440</f>
        <v>8299453</v>
      </c>
    </row>
    <row r="8" spans="1:3" ht="18" customHeight="1">
      <c r="A8" s="56" t="s">
        <v>458</v>
      </c>
      <c r="B8" s="55">
        <v>540</v>
      </c>
      <c r="C8" s="55">
        <f>3815600+75060+93960+3997600+540</f>
        <v>7982760</v>
      </c>
    </row>
    <row r="9" spans="1:3" ht="18" customHeight="1">
      <c r="A9" s="56" t="s">
        <v>62</v>
      </c>
      <c r="B9" s="55">
        <v>72683.87</v>
      </c>
      <c r="C9" s="55">
        <f>16046.56+10836.82+70048.95+67903.17+13258.06+81834.6+26431.06+23635.49+72683.87</f>
        <v>382678.58</v>
      </c>
    </row>
    <row r="10" spans="1:3" ht="18" customHeight="1">
      <c r="A10" s="56" t="s">
        <v>401</v>
      </c>
      <c r="B10" s="55">
        <v>0</v>
      </c>
      <c r="C10" s="55">
        <f>266000+189000+130000+40000+85000</f>
        <v>710000</v>
      </c>
    </row>
    <row r="11" spans="1:3" ht="18" customHeight="1">
      <c r="A11" s="56" t="s">
        <v>437</v>
      </c>
      <c r="B11" s="55">
        <v>0</v>
      </c>
      <c r="C11" s="55">
        <f>6750+1500</f>
        <v>8250</v>
      </c>
    </row>
    <row r="12" spans="1:3" ht="18" customHeight="1">
      <c r="A12" s="56" t="s">
        <v>489</v>
      </c>
      <c r="B12" s="55">
        <v>72.09</v>
      </c>
      <c r="C12" s="55">
        <f>919.37+262.55+69.42+114.81+72.09</f>
        <v>1438.24</v>
      </c>
    </row>
    <row r="13" spans="1:3" ht="18" customHeight="1">
      <c r="A13" s="56" t="s">
        <v>459</v>
      </c>
      <c r="B13" s="55">
        <v>0</v>
      </c>
      <c r="C13" s="55">
        <f>1951300+56160+83000</f>
        <v>2090460</v>
      </c>
    </row>
    <row r="14" spans="1:3" ht="18" customHeight="1">
      <c r="A14" s="56" t="s">
        <v>502</v>
      </c>
      <c r="B14" s="55">
        <v>622200</v>
      </c>
      <c r="C14" s="55">
        <f>34200+19000+799250+899140+538500+701900+626000+617900+622200</f>
        <v>4858090</v>
      </c>
    </row>
    <row r="15" spans="1:3" ht="18" customHeight="1" thickBot="1">
      <c r="A15" s="57" t="s">
        <v>20</v>
      </c>
      <c r="B15" s="59">
        <f>SUM(B6:B14)</f>
        <v>3231844.62</v>
      </c>
      <c r="C15" s="59">
        <f>SUM(C6:C14)</f>
        <v>37066146.75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438</v>
      </c>
      <c r="B17" s="44">
        <v>880420.43</v>
      </c>
      <c r="C17" s="55">
        <f>2741961.26+959233.04+1501338.03+1347310.84+1144278.53+1001116.79+2007775.35+929100.51+880420.43</f>
        <v>12512534.78</v>
      </c>
    </row>
    <row r="18" spans="1:3" ht="18" customHeight="1">
      <c r="A18" s="56" t="s">
        <v>403</v>
      </c>
      <c r="B18" s="44">
        <v>622200</v>
      </c>
      <c r="C18" s="55">
        <f>38200+15000+806850+891540+600500+639900+626000+617900+622200</f>
        <v>4858090</v>
      </c>
    </row>
    <row r="19" spans="1:3" ht="18" customHeight="1">
      <c r="A19" s="56" t="s">
        <v>402</v>
      </c>
      <c r="B19" s="44">
        <v>0</v>
      </c>
      <c r="C19" s="55">
        <f>305000+139000+180000+40000+85000</f>
        <v>749000</v>
      </c>
    </row>
    <row r="20" spans="1:3" ht="18" customHeight="1">
      <c r="A20" s="56" t="s">
        <v>63</v>
      </c>
      <c r="B20" s="55">
        <v>24095.4</v>
      </c>
      <c r="C20" s="55">
        <f>10760.56+10804.7+79973.73+45061.79+9843.41+52348.44+52815.1+61877.6+24095.4</f>
        <v>347580.73000000004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0</v>
      </c>
      <c r="C22" s="55">
        <f>1338920+667820+720+83000</f>
        <v>2090460</v>
      </c>
    </row>
    <row r="23" spans="1:3" ht="18" customHeight="1">
      <c r="A23" s="56" t="s">
        <v>460</v>
      </c>
      <c r="B23" s="55">
        <v>629800</v>
      </c>
      <c r="C23" s="55">
        <f>1950800+718660+655700+653900+653400+651900+651300+629800</f>
        <v>6565460</v>
      </c>
    </row>
    <row r="24" spans="1:3" ht="18" customHeight="1">
      <c r="A24" s="56" t="s">
        <v>461</v>
      </c>
      <c r="B24" s="55">
        <v>0</v>
      </c>
      <c r="C24" s="55">
        <f>840000+383000+318700+122000+696184+543000+1331848</f>
        <v>4234732</v>
      </c>
    </row>
    <row r="25" spans="1:3" ht="18" customHeight="1">
      <c r="A25" s="56"/>
      <c r="B25" s="55"/>
      <c r="C25" s="55"/>
    </row>
    <row r="26" spans="1:3" ht="18" customHeight="1" thickBot="1">
      <c r="A26" s="57" t="s">
        <v>20</v>
      </c>
      <c r="B26" s="59">
        <f>SUM(B17:B24)</f>
        <v>2156515.83</v>
      </c>
      <c r="C26" s="59">
        <f>SUM(C17:C24)</f>
        <v>31720223.240000002</v>
      </c>
    </row>
    <row r="27" spans="1:3" ht="18" customHeight="1" thickBot="1" thickTop="1">
      <c r="A27" s="57" t="s">
        <v>64</v>
      </c>
      <c r="B27" s="59">
        <f>B15-B26</f>
        <v>1075328.79</v>
      </c>
      <c r="C27" s="59">
        <f>C15-C26</f>
        <v>5345923.509999998</v>
      </c>
    </row>
    <row r="28" spans="1:3" ht="18" customHeight="1" thickTop="1">
      <c r="A28" s="255"/>
      <c r="B28" s="256"/>
      <c r="C28" s="256"/>
    </row>
    <row r="29" spans="1:5" ht="18" customHeight="1">
      <c r="A29" s="6" t="s">
        <v>12</v>
      </c>
      <c r="B29" s="16"/>
      <c r="C29" s="22"/>
      <c r="D29" s="22"/>
      <c r="E29" s="22"/>
    </row>
    <row r="30" spans="1:5" ht="18" customHeight="1">
      <c r="A30" s="48" t="s">
        <v>13</v>
      </c>
      <c r="B30" s="16"/>
      <c r="C30" s="22"/>
      <c r="D30" s="22"/>
      <c r="E30" s="21"/>
    </row>
    <row r="31" spans="1:5" ht="18" customHeight="1">
      <c r="A31" s="48"/>
      <c r="B31" s="16"/>
      <c r="C31" s="22"/>
      <c r="D31" s="22"/>
      <c r="E31" s="21"/>
    </row>
    <row r="32" spans="1:5" ht="18" customHeight="1">
      <c r="A32" s="293" t="s">
        <v>65</v>
      </c>
      <c r="B32" s="293"/>
      <c r="C32" s="293"/>
      <c r="D32" s="17"/>
      <c r="E32" s="17"/>
    </row>
    <row r="33" spans="1:5" ht="18" customHeight="1">
      <c r="A33" s="293" t="s">
        <v>96</v>
      </c>
      <c r="B33" s="293"/>
      <c r="C33" s="293"/>
      <c r="D33" s="17"/>
      <c r="E33" s="17"/>
    </row>
    <row r="34" spans="1:5" ht="18" customHeight="1">
      <c r="A34" s="293" t="s">
        <v>14</v>
      </c>
      <c r="B34" s="293"/>
      <c r="C34" s="293"/>
      <c r="D34" s="17"/>
      <c r="E34" s="17"/>
    </row>
    <row r="35" spans="1:5" ht="18" customHeight="1">
      <c r="A35" s="6"/>
      <c r="B35" s="16"/>
      <c r="C35" s="22"/>
      <c r="D35" s="22"/>
      <c r="E35" s="6"/>
    </row>
    <row r="36" spans="1:5" s="1" customFormat="1" ht="18" customHeight="1">
      <c r="A36" s="293" t="s">
        <v>133</v>
      </c>
      <c r="B36" s="293"/>
      <c r="C36" s="293"/>
      <c r="D36" s="17"/>
      <c r="E36" s="17"/>
    </row>
    <row r="37" spans="1:5" s="1" customFormat="1" ht="18" customHeight="1">
      <c r="A37" s="293" t="s">
        <v>15</v>
      </c>
      <c r="B37" s="293"/>
      <c r="C37" s="293"/>
      <c r="D37" s="17"/>
      <c r="E37" s="17"/>
    </row>
    <row r="38" spans="1:5" s="1" customFormat="1" ht="18" customHeight="1">
      <c r="A38" s="294">
        <v>240178</v>
      </c>
      <c r="B38" s="294"/>
      <c r="C38" s="294"/>
      <c r="D38" s="17"/>
      <c r="E38" s="17"/>
    </row>
  </sheetData>
  <sheetProtection/>
  <mergeCells count="9">
    <mergeCell ref="A1:C1"/>
    <mergeCell ref="A2:C2"/>
    <mergeCell ref="A3:C3"/>
    <mergeCell ref="A32:C32"/>
    <mergeCell ref="A38:C38"/>
    <mergeCell ref="A33:C33"/>
    <mergeCell ref="A34:C34"/>
    <mergeCell ref="A36:C36"/>
    <mergeCell ref="A37:C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4" t="s">
        <v>66</v>
      </c>
      <c r="B2" s="314"/>
      <c r="C2" s="314"/>
      <c r="D2" s="314"/>
      <c r="E2" s="314"/>
      <c r="F2" s="314"/>
      <c r="G2" s="313" t="s">
        <v>67</v>
      </c>
      <c r="H2" s="314"/>
      <c r="I2" s="314"/>
      <c r="J2" s="314"/>
    </row>
    <row r="3" spans="1:10" ht="23.25">
      <c r="A3" s="314" t="s">
        <v>68</v>
      </c>
      <c r="B3" s="314"/>
      <c r="C3" s="314"/>
      <c r="D3" s="314"/>
      <c r="E3" s="314"/>
      <c r="F3" s="314"/>
      <c r="G3" s="313" t="s">
        <v>94</v>
      </c>
      <c r="H3" s="314"/>
      <c r="I3" s="314"/>
      <c r="J3" s="314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516</v>
      </c>
      <c r="B5" s="315"/>
      <c r="C5" s="315"/>
      <c r="D5" s="315"/>
      <c r="E5" s="315"/>
      <c r="F5" s="316"/>
      <c r="G5" s="66"/>
      <c r="H5" s="66"/>
      <c r="I5" s="66"/>
      <c r="J5" s="67">
        <v>12590023.54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9" t="s">
        <v>69</v>
      </c>
      <c r="B8" s="319"/>
      <c r="C8" s="319"/>
      <c r="D8" s="319"/>
      <c r="E8" s="319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517</v>
      </c>
      <c r="B10" s="70"/>
      <c r="C10" s="97" t="s">
        <v>518</v>
      </c>
      <c r="D10" s="70"/>
      <c r="E10" s="70"/>
      <c r="F10" s="71">
        <v>1100</v>
      </c>
      <c r="G10" s="66"/>
      <c r="H10" s="66"/>
      <c r="I10" s="66"/>
      <c r="J10" s="67"/>
    </row>
    <row r="11" spans="1:10" ht="23.25">
      <c r="A11" s="97" t="s">
        <v>519</v>
      </c>
      <c r="B11" s="70"/>
      <c r="C11" s="97" t="s">
        <v>520</v>
      </c>
      <c r="D11" s="70"/>
      <c r="E11" s="70"/>
      <c r="F11" s="71">
        <v>10000</v>
      </c>
      <c r="G11" s="66"/>
      <c r="H11" s="66"/>
      <c r="I11" s="66"/>
      <c r="J11" s="67"/>
    </row>
    <row r="12" spans="1:10" ht="23.25">
      <c r="A12" s="97"/>
      <c r="B12" s="70"/>
      <c r="C12" s="97" t="s">
        <v>521</v>
      </c>
      <c r="D12" s="70"/>
      <c r="E12" s="70"/>
      <c r="F12" s="71">
        <v>12635</v>
      </c>
      <c r="G12" s="66"/>
      <c r="H12" s="66"/>
      <c r="I12" s="66"/>
      <c r="J12" s="73"/>
    </row>
    <row r="13" spans="1:10" ht="23.25">
      <c r="A13" s="97" t="s">
        <v>522</v>
      </c>
      <c r="B13" s="70"/>
      <c r="C13" s="97" t="s">
        <v>523</v>
      </c>
      <c r="D13" s="70"/>
      <c r="E13" s="70"/>
      <c r="F13" s="71">
        <v>3150</v>
      </c>
      <c r="G13" s="66"/>
      <c r="H13" s="66"/>
      <c r="I13" s="66"/>
      <c r="J13" s="73"/>
    </row>
    <row r="14" spans="1:10" ht="23.25">
      <c r="A14" s="97"/>
      <c r="B14" s="70"/>
      <c r="C14" s="97" t="s">
        <v>524</v>
      </c>
      <c r="D14" s="70"/>
      <c r="E14" s="70"/>
      <c r="F14" s="71">
        <v>79726.92</v>
      </c>
      <c r="G14" s="66"/>
      <c r="H14" s="66"/>
      <c r="I14" s="66"/>
      <c r="J14" s="67"/>
    </row>
    <row r="15" spans="1:10" ht="23.25">
      <c r="A15" s="97"/>
      <c r="B15" s="70"/>
      <c r="C15" s="97" t="s">
        <v>525</v>
      </c>
      <c r="D15" s="70"/>
      <c r="E15" s="70"/>
      <c r="F15" s="71">
        <v>5230.04</v>
      </c>
      <c r="G15" s="66"/>
      <c r="H15" s="66"/>
      <c r="I15" s="66"/>
      <c r="J15" s="67"/>
    </row>
    <row r="16" spans="1:10" ht="23.25">
      <c r="A16" s="97" t="s">
        <v>526</v>
      </c>
      <c r="B16" s="70"/>
      <c r="C16" s="97" t="s">
        <v>527</v>
      </c>
      <c r="D16" s="70"/>
      <c r="E16" s="70"/>
      <c r="F16" s="71">
        <v>2372.4</v>
      </c>
      <c r="G16" s="66"/>
      <c r="H16" s="66"/>
      <c r="I16" s="66"/>
      <c r="J16" s="67">
        <v>114214.36</v>
      </c>
    </row>
    <row r="17" spans="1:10" ht="23.25">
      <c r="A17" s="97"/>
      <c r="B17" s="70"/>
      <c r="C17" s="97"/>
      <c r="D17" s="70"/>
      <c r="E17" s="70"/>
      <c r="F17" s="71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3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3"/>
      <c r="G23" s="66"/>
      <c r="H23" s="66"/>
      <c r="I23" s="66"/>
      <c r="J23" s="67"/>
    </row>
    <row r="24" spans="1:10" ht="23.25">
      <c r="A24" s="96" t="s">
        <v>282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23" t="s">
        <v>528</v>
      </c>
      <c r="B26" s="323"/>
      <c r="C26" s="323"/>
      <c r="D26" s="323"/>
      <c r="E26" s="323"/>
      <c r="F26" s="324"/>
      <c r="G26" s="66"/>
      <c r="H26" s="66"/>
      <c r="I26" s="66"/>
      <c r="J26" s="67">
        <v>12475809.18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22" t="s">
        <v>74</v>
      </c>
      <c r="H28" s="315"/>
      <c r="I28" s="315"/>
      <c r="J28" s="315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20" t="s">
        <v>529</v>
      </c>
      <c r="B30" s="320"/>
      <c r="C30" s="320"/>
      <c r="D30" s="320"/>
      <c r="E30" s="320"/>
      <c r="F30" s="321"/>
      <c r="G30" s="313" t="s">
        <v>530</v>
      </c>
      <c r="H30" s="314"/>
      <c r="I30" s="314"/>
      <c r="J30" s="314"/>
      <c r="K30" s="68"/>
    </row>
    <row r="31" spans="1:10" ht="23.25">
      <c r="A31" s="314" t="s">
        <v>98</v>
      </c>
      <c r="B31" s="314"/>
      <c r="C31" s="314"/>
      <c r="D31" s="314"/>
      <c r="E31" s="68"/>
      <c r="F31" s="72"/>
      <c r="G31" s="317" t="s">
        <v>478</v>
      </c>
      <c r="H31" s="318"/>
      <c r="I31" s="318"/>
      <c r="J31" s="318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G28:J28"/>
    <mergeCell ref="A26:F26"/>
    <mergeCell ref="G2:J2"/>
    <mergeCell ref="A3:F3"/>
    <mergeCell ref="G3:J3"/>
    <mergeCell ref="A5:F5"/>
    <mergeCell ref="A2:F2"/>
    <mergeCell ref="A31:D31"/>
    <mergeCell ref="G31:J31"/>
    <mergeCell ref="A8:E8"/>
    <mergeCell ref="A30:F30"/>
    <mergeCell ref="G30:J30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2014-08-08T02:19:49Z</cp:lastPrinted>
  <dcterms:created xsi:type="dcterms:W3CDTF">1996-10-14T23:33:28Z</dcterms:created>
  <dcterms:modified xsi:type="dcterms:W3CDTF">2014-08-08T02:33:56Z</dcterms:modified>
  <cp:category/>
  <cp:version/>
  <cp:contentType/>
  <cp:contentStatus/>
</cp:coreProperties>
</file>